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entraleProjekte\MALDI CVUAS\MALDI-UP\aaOnline gestellte Versionen\"/>
    </mc:Choice>
  </mc:AlternateContent>
  <bookViews>
    <workbookView xWindow="0" yWindow="0" windowWidth="28800" windowHeight="11835" tabRatio="858"/>
  </bookViews>
  <sheets>
    <sheet name="Report (Spezies)" sheetId="3" r:id="rId1"/>
    <sheet name="Parameter (Spezies)" sheetId="1" r:id="rId2"/>
    <sheet name="#Parameter (Spezies) DB" sheetId="12" r:id="rId3"/>
    <sheet name="#Parameter (Spezies)" sheetId="5" r:id="rId4"/>
    <sheet name="Settings" sheetId="17" r:id="rId5"/>
    <sheet name="Sortierung" sheetId="16" r:id="rId6"/>
  </sheets>
  <definedNames>
    <definedName name="_xlnm._FilterDatabase" localSheetId="3" hidden="1">'#Parameter (Spezies)'!$E$1:$L$62</definedName>
    <definedName name="_xlnm._FilterDatabase" localSheetId="2" hidden="1">'#Parameter (Spezies) DB'!$F$1:$Z$204</definedName>
    <definedName name="_xlnm._FilterDatabase" localSheetId="1" hidden="1">'Parameter (Spezies)'!$F$1:$U$43</definedName>
    <definedName name="_xlnm._FilterDatabase" localSheetId="5" hidden="1">Sortierung!$A$5:$G$141</definedName>
  </definedNames>
  <calcPr calcId="162913"/>
</workbook>
</file>

<file path=xl/calcChain.xml><?xml version="1.0" encoding="utf-8"?>
<calcChain xmlns="http://schemas.openxmlformats.org/spreadsheetml/2006/main">
  <c r="D33" i="3" l="1"/>
  <c r="K67" i="5" l="1"/>
  <c r="L67" i="5" s="1"/>
  <c r="K68" i="5"/>
  <c r="L68" i="5"/>
  <c r="R8" i="12"/>
  <c r="R24" i="12"/>
  <c r="T24" i="12" s="1"/>
  <c r="U24" i="12" s="1"/>
  <c r="V24" i="12"/>
  <c r="X24" i="12" s="1"/>
  <c r="AA24" i="12" s="1"/>
  <c r="W24" i="12"/>
  <c r="Y24" i="12" s="1"/>
  <c r="V3" i="12"/>
  <c r="W3" i="12"/>
  <c r="V4" i="12"/>
  <c r="W4" i="12"/>
  <c r="V5" i="12"/>
  <c r="W5" i="12"/>
  <c r="V6" i="12"/>
  <c r="W6" i="12"/>
  <c r="V7" i="12"/>
  <c r="W7" i="12"/>
  <c r="V8" i="12"/>
  <c r="W8" i="12"/>
  <c r="V9" i="12"/>
  <c r="W9" i="12"/>
  <c r="V10" i="12"/>
  <c r="W10" i="12"/>
  <c r="V11" i="12"/>
  <c r="W11" i="12"/>
  <c r="V12" i="12"/>
  <c r="W12" i="12"/>
  <c r="V13" i="12"/>
  <c r="W13" i="12"/>
  <c r="V14" i="12"/>
  <c r="W14" i="12"/>
  <c r="V15" i="12"/>
  <c r="W15" i="12"/>
  <c r="V16" i="12"/>
  <c r="W16" i="12"/>
  <c r="V17" i="12"/>
  <c r="W17" i="12"/>
  <c r="V18" i="12"/>
  <c r="W18" i="12"/>
  <c r="V19" i="12"/>
  <c r="W19" i="12"/>
  <c r="V20" i="12"/>
  <c r="W20" i="12"/>
  <c r="V21" i="12"/>
  <c r="W21" i="12"/>
  <c r="V22" i="12"/>
  <c r="W22" i="12"/>
  <c r="V23" i="12"/>
  <c r="W23" i="12"/>
  <c r="V25" i="12"/>
  <c r="W25" i="12"/>
  <c r="V26" i="12"/>
  <c r="W26" i="12"/>
  <c r="V27" i="12"/>
  <c r="W27" i="12"/>
  <c r="V28" i="12"/>
  <c r="W28" i="12"/>
  <c r="V29" i="12"/>
  <c r="W29" i="12"/>
  <c r="V30" i="12"/>
  <c r="W30" i="12"/>
  <c r="V31" i="12"/>
  <c r="W31" i="12"/>
  <c r="V32" i="12"/>
  <c r="W32" i="12"/>
  <c r="V33" i="12"/>
  <c r="W33" i="12"/>
  <c r="V34" i="12"/>
  <c r="W34" i="12"/>
  <c r="V35" i="12"/>
  <c r="W35" i="12"/>
  <c r="V36" i="12"/>
  <c r="W36" i="12"/>
  <c r="V37" i="12"/>
  <c r="W37" i="12"/>
  <c r="V38" i="12"/>
  <c r="W38" i="12"/>
  <c r="V39" i="12"/>
  <c r="W39" i="12"/>
  <c r="V40" i="12"/>
  <c r="W40" i="12"/>
  <c r="V41" i="12"/>
  <c r="W41" i="12"/>
  <c r="V42" i="12"/>
  <c r="W42" i="12"/>
  <c r="V43" i="12"/>
  <c r="W43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W2" i="12"/>
  <c r="V2" i="12"/>
  <c r="Z24" i="12" l="1"/>
  <c r="S24" i="12" s="1"/>
  <c r="E35" i="1" l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" i="1" l="1"/>
  <c r="C1" i="5" s="1"/>
  <c r="B1" i="1"/>
  <c r="A3" i="3" s="1"/>
  <c r="B13" i="5"/>
  <c r="B12" i="5"/>
  <c r="B21" i="12"/>
  <c r="B20" i="12"/>
  <c r="A42" i="3"/>
  <c r="B13" i="1"/>
  <c r="B12" i="1"/>
  <c r="A17" i="3"/>
  <c r="C18" i="3"/>
  <c r="A15" i="12"/>
  <c r="A14" i="12"/>
  <c r="K2" i="5" l="1"/>
  <c r="L2" i="5" s="1"/>
  <c r="K27" i="5"/>
  <c r="L27" i="5" s="1"/>
  <c r="K36" i="5"/>
  <c r="L36" i="5" s="1"/>
  <c r="K28" i="5"/>
  <c r="L28" i="5" s="1"/>
  <c r="K33" i="5"/>
  <c r="L33" i="5" s="1"/>
  <c r="K26" i="5"/>
  <c r="L26" i="5" s="1"/>
  <c r="K32" i="5"/>
  <c r="L32" i="5" s="1"/>
  <c r="K37" i="5"/>
  <c r="L37" i="5" s="1"/>
  <c r="K34" i="5"/>
  <c r="L34" i="5" s="1"/>
  <c r="K30" i="5"/>
  <c r="L30" i="5" s="1"/>
  <c r="K35" i="5"/>
  <c r="L35" i="5" s="1"/>
  <c r="K29" i="5"/>
  <c r="L29" i="5" s="1"/>
  <c r="K38" i="5"/>
  <c r="L38" i="5" s="1"/>
  <c r="K25" i="5"/>
  <c r="L25" i="5" s="1"/>
  <c r="K31" i="5"/>
  <c r="L31" i="5" s="1"/>
  <c r="T26" i="12"/>
  <c r="U26" i="12" s="1"/>
  <c r="T20" i="12"/>
  <c r="U20" i="12" s="1"/>
  <c r="R42" i="12"/>
  <c r="T5" i="12"/>
  <c r="U5" i="12" s="1"/>
  <c r="T17" i="12"/>
  <c r="U17" i="12" s="1"/>
  <c r="T38" i="12"/>
  <c r="U38" i="12" s="1"/>
  <c r="T62" i="12"/>
  <c r="U62" i="12" s="1"/>
  <c r="R3" i="12"/>
  <c r="T3" i="12" s="1"/>
  <c r="U3" i="12" s="1"/>
  <c r="R11" i="12"/>
  <c r="T11" i="12" s="1"/>
  <c r="U11" i="12" s="1"/>
  <c r="R19" i="12"/>
  <c r="R27" i="12"/>
  <c r="R35" i="12"/>
  <c r="T35" i="12" s="1"/>
  <c r="U35" i="12" s="1"/>
  <c r="R43" i="12"/>
  <c r="R51" i="12"/>
  <c r="T51" i="12" s="1"/>
  <c r="U51" i="12" s="1"/>
  <c r="R59" i="12"/>
  <c r="T28" i="12"/>
  <c r="U28" i="12" s="1"/>
  <c r="R12" i="12"/>
  <c r="R28" i="12"/>
  <c r="R44" i="12"/>
  <c r="T44" i="12" s="1"/>
  <c r="U44" i="12" s="1"/>
  <c r="R60" i="12"/>
  <c r="T60" i="12" s="1"/>
  <c r="U60" i="12" s="1"/>
  <c r="R13" i="12"/>
  <c r="T13" i="12" s="1"/>
  <c r="U13" i="12" s="1"/>
  <c r="R29" i="12"/>
  <c r="T29" i="12" s="1"/>
  <c r="U29" i="12" s="1"/>
  <c r="R53" i="12"/>
  <c r="T2" i="12"/>
  <c r="U2" i="12" s="1"/>
  <c r="R26" i="12"/>
  <c r="R4" i="12"/>
  <c r="T4" i="12" s="1"/>
  <c r="U4" i="12" s="1"/>
  <c r="R20" i="12"/>
  <c r="R36" i="12"/>
  <c r="T36" i="12" s="1"/>
  <c r="U36" i="12" s="1"/>
  <c r="R52" i="12"/>
  <c r="T52" i="12" s="1"/>
  <c r="U52" i="12" s="1"/>
  <c r="T59" i="12"/>
  <c r="U59" i="12" s="1"/>
  <c r="R5" i="12"/>
  <c r="R21" i="12"/>
  <c r="R37" i="12"/>
  <c r="R61" i="12"/>
  <c r="R25" i="12"/>
  <c r="T25" i="12" s="1"/>
  <c r="U25" i="12" s="1"/>
  <c r="R49" i="12"/>
  <c r="T49" i="12" s="1"/>
  <c r="U49" i="12" s="1"/>
  <c r="R50" i="12"/>
  <c r="T19" i="12"/>
  <c r="U19" i="12" s="1"/>
  <c r="T43" i="12"/>
  <c r="U43" i="12" s="1"/>
  <c r="R45" i="12"/>
  <c r="R17" i="12"/>
  <c r="R57" i="12"/>
  <c r="T57" i="12" s="1"/>
  <c r="U57" i="12" s="1"/>
  <c r="R10" i="12"/>
  <c r="T10" i="12" s="1"/>
  <c r="U10" i="12" s="1"/>
  <c r="R34" i="12"/>
  <c r="T34" i="12" s="1"/>
  <c r="U34" i="12" s="1"/>
  <c r="R6" i="12"/>
  <c r="T6" i="12" s="1"/>
  <c r="U6" i="12" s="1"/>
  <c r="R14" i="12"/>
  <c r="T14" i="12" s="1"/>
  <c r="U14" i="12" s="1"/>
  <c r="R22" i="12"/>
  <c r="T22" i="12" s="1"/>
  <c r="U22" i="12" s="1"/>
  <c r="R30" i="12"/>
  <c r="T30" i="12" s="1"/>
  <c r="U30" i="12" s="1"/>
  <c r="R38" i="12"/>
  <c r="R46" i="12"/>
  <c r="T46" i="12" s="1"/>
  <c r="U46" i="12" s="1"/>
  <c r="R54" i="12"/>
  <c r="T54" i="12" s="1"/>
  <c r="U54" i="12" s="1"/>
  <c r="R62" i="12"/>
  <c r="T18" i="12"/>
  <c r="U18" i="12" s="1"/>
  <c r="T8" i="12"/>
  <c r="U8" i="12" s="1"/>
  <c r="R16" i="12"/>
  <c r="R48" i="12"/>
  <c r="R64" i="12"/>
  <c r="T64" i="12" s="1"/>
  <c r="U64" i="12" s="1"/>
  <c r="R9" i="12"/>
  <c r="T9" i="12" s="1"/>
  <c r="U9" i="12" s="1"/>
  <c r="R41" i="12"/>
  <c r="T41" i="12" s="1"/>
  <c r="U41" i="12" s="1"/>
  <c r="R2" i="12"/>
  <c r="T12" i="12"/>
  <c r="U12" i="12" s="1"/>
  <c r="T16" i="12"/>
  <c r="U16" i="12" s="1"/>
  <c r="T21" i="12"/>
  <c r="U21" i="12" s="1"/>
  <c r="T27" i="12"/>
  <c r="U27" i="12" s="1"/>
  <c r="T37" i="12"/>
  <c r="U37" i="12" s="1"/>
  <c r="T40" i="12"/>
  <c r="U40" i="12" s="1"/>
  <c r="T42" i="12"/>
  <c r="U42" i="12" s="1"/>
  <c r="T45" i="12"/>
  <c r="U45" i="12" s="1"/>
  <c r="T48" i="12"/>
  <c r="U48" i="12" s="1"/>
  <c r="T50" i="12"/>
  <c r="U50" i="12" s="1"/>
  <c r="T53" i="12"/>
  <c r="U53" i="12" s="1"/>
  <c r="T61" i="12"/>
  <c r="U61" i="12" s="1"/>
  <c r="R7" i="12"/>
  <c r="T7" i="12" s="1"/>
  <c r="U7" i="12" s="1"/>
  <c r="R15" i="12"/>
  <c r="T15" i="12" s="1"/>
  <c r="U15" i="12" s="1"/>
  <c r="R23" i="12"/>
  <c r="T23" i="12" s="1"/>
  <c r="U23" i="12" s="1"/>
  <c r="R31" i="12"/>
  <c r="T31" i="12" s="1"/>
  <c r="U31" i="12" s="1"/>
  <c r="R39" i="12"/>
  <c r="T39" i="12" s="1"/>
  <c r="U39" i="12" s="1"/>
  <c r="R47" i="12"/>
  <c r="T47" i="12" s="1"/>
  <c r="U47" i="12" s="1"/>
  <c r="R55" i="12"/>
  <c r="T55" i="12" s="1"/>
  <c r="U55" i="12" s="1"/>
  <c r="R63" i="12"/>
  <c r="T63" i="12" s="1"/>
  <c r="U63" i="12" s="1"/>
  <c r="T32" i="12"/>
  <c r="U32" i="12" s="1"/>
  <c r="R32" i="12"/>
  <c r="R40" i="12"/>
  <c r="R56" i="12"/>
  <c r="T56" i="12" s="1"/>
  <c r="U56" i="12" s="1"/>
  <c r="R33" i="12"/>
  <c r="T33" i="12" s="1"/>
  <c r="U33" i="12" s="1"/>
  <c r="R65" i="12"/>
  <c r="T65" i="12" s="1"/>
  <c r="U65" i="12" s="1"/>
  <c r="R18" i="12"/>
  <c r="R58" i="12"/>
  <c r="T58" i="12" s="1"/>
  <c r="U58" i="12" s="1"/>
  <c r="K7" i="5"/>
  <c r="L7" i="5" s="1"/>
  <c r="K66" i="5"/>
  <c r="L66" i="5" s="1"/>
  <c r="K39" i="5"/>
  <c r="L39" i="5" s="1"/>
  <c r="K46" i="5"/>
  <c r="L46" i="5" s="1"/>
  <c r="K52" i="5"/>
  <c r="L52" i="5" s="1"/>
  <c r="K65" i="5"/>
  <c r="L65" i="5" s="1"/>
  <c r="K51" i="5"/>
  <c r="L51" i="5" s="1"/>
  <c r="K40" i="5"/>
  <c r="L40" i="5" s="1"/>
  <c r="K53" i="5"/>
  <c r="L53" i="5" s="1"/>
  <c r="K59" i="5"/>
  <c r="L59" i="5" s="1"/>
  <c r="K43" i="5"/>
  <c r="L43" i="5" s="1"/>
  <c r="K41" i="5"/>
  <c r="L41" i="5" s="1"/>
  <c r="K47" i="5"/>
  <c r="L47" i="5" s="1"/>
  <c r="K54" i="5"/>
  <c r="L54" i="5" s="1"/>
  <c r="K60" i="5"/>
  <c r="L60" i="5" s="1"/>
  <c r="K50" i="5"/>
  <c r="L50" i="5" s="1"/>
  <c r="K57" i="5"/>
  <c r="L57" i="5" s="1"/>
  <c r="K58" i="5"/>
  <c r="L58" i="5" s="1"/>
  <c r="K42" i="5"/>
  <c r="L42" i="5" s="1"/>
  <c r="K48" i="5"/>
  <c r="L48" i="5" s="1"/>
  <c r="K61" i="5"/>
  <c r="L61" i="5" s="1"/>
  <c r="K63" i="5"/>
  <c r="L63" i="5" s="1"/>
  <c r="K45" i="5"/>
  <c r="L45" i="5" s="1"/>
  <c r="K49" i="5"/>
  <c r="L49" i="5" s="1"/>
  <c r="K55" i="5"/>
  <c r="L55" i="5" s="1"/>
  <c r="K62" i="5"/>
  <c r="L62" i="5" s="1"/>
  <c r="K56" i="5"/>
  <c r="L56" i="5" s="1"/>
  <c r="K44" i="5"/>
  <c r="L44" i="5" s="1"/>
  <c r="K64" i="5"/>
  <c r="L64" i="5" s="1"/>
  <c r="P36" i="1"/>
  <c r="P41" i="1"/>
  <c r="P35" i="1"/>
  <c r="P37" i="1"/>
  <c r="P38" i="1"/>
  <c r="P40" i="1"/>
  <c r="P42" i="1"/>
  <c r="P43" i="1"/>
  <c r="P39" i="1"/>
  <c r="C20" i="3"/>
  <c r="K19" i="5"/>
  <c r="L19" i="5" s="1"/>
  <c r="K11" i="5"/>
  <c r="L11" i="5" s="1"/>
  <c r="K5" i="5"/>
  <c r="L5" i="5" s="1"/>
  <c r="K18" i="5"/>
  <c r="L18" i="5" s="1"/>
  <c r="K10" i="5"/>
  <c r="L10" i="5" s="1"/>
  <c r="K9" i="5"/>
  <c r="L9" i="5" s="1"/>
  <c r="K4" i="5"/>
  <c r="L4" i="5" s="1"/>
  <c r="K24" i="5"/>
  <c r="L24" i="5" s="1"/>
  <c r="K17" i="5"/>
  <c r="L17" i="5" s="1"/>
  <c r="K23" i="5"/>
  <c r="L23" i="5" s="1"/>
  <c r="K3" i="5"/>
  <c r="L3" i="5" s="1"/>
  <c r="K15" i="5"/>
  <c r="L15" i="5" s="1"/>
  <c r="K8" i="5"/>
  <c r="L8" i="5" s="1"/>
  <c r="K13" i="5"/>
  <c r="L13" i="5" s="1"/>
  <c r="K22" i="5"/>
  <c r="L22" i="5" s="1"/>
  <c r="K16" i="5"/>
  <c r="L16" i="5" s="1"/>
  <c r="K21" i="5"/>
  <c r="L21" i="5" s="1"/>
  <c r="K14" i="5"/>
  <c r="L14" i="5" s="1"/>
  <c r="K20" i="5"/>
  <c r="L20" i="5" s="1"/>
  <c r="K12" i="5"/>
  <c r="L12" i="5" s="1"/>
  <c r="K6" i="5"/>
  <c r="L6" i="5" s="1"/>
  <c r="P7" i="1"/>
  <c r="P45" i="1"/>
  <c r="P32" i="1"/>
  <c r="P28" i="1"/>
  <c r="P24" i="1"/>
  <c r="P20" i="1"/>
  <c r="P16" i="1"/>
  <c r="P12" i="1"/>
  <c r="P6" i="1"/>
  <c r="P4" i="1"/>
  <c r="P21" i="1"/>
  <c r="P9" i="1"/>
  <c r="P15" i="1"/>
  <c r="P25" i="1"/>
  <c r="P17" i="1"/>
  <c r="P44" i="1"/>
  <c r="P31" i="1"/>
  <c r="P27" i="1"/>
  <c r="P23" i="1"/>
  <c r="P19" i="1"/>
  <c r="P11" i="1"/>
  <c r="P3" i="1"/>
  <c r="P29" i="1"/>
  <c r="P5" i="1"/>
  <c r="P34" i="1"/>
  <c r="P30" i="1"/>
  <c r="P26" i="1"/>
  <c r="P22" i="1"/>
  <c r="P18" i="1"/>
  <c r="P14" i="1"/>
  <c r="P10" i="1"/>
  <c r="P8" i="1"/>
  <c r="P2" i="1"/>
  <c r="P33" i="1"/>
  <c r="P13" i="1"/>
  <c r="B1" i="12"/>
  <c r="B1" i="5"/>
  <c r="C17" i="3"/>
  <c r="S7" i="12" l="1"/>
  <c r="S20" i="12"/>
  <c r="X4" i="12"/>
  <c r="Y19" i="12"/>
  <c r="Y30" i="12"/>
  <c r="Y35" i="12"/>
  <c r="Z4" i="12"/>
  <c r="S4" i="12" s="1"/>
  <c r="X27" i="12"/>
  <c r="Z37" i="12"/>
  <c r="X40" i="12"/>
  <c r="Z45" i="12"/>
  <c r="X48" i="12"/>
  <c r="Z53" i="12"/>
  <c r="S53" i="12" s="1"/>
  <c r="Y39" i="12"/>
  <c r="X44" i="12"/>
  <c r="AA44" i="12" s="1"/>
  <c r="X52" i="12"/>
  <c r="X60" i="12"/>
  <c r="Y55" i="12"/>
  <c r="Y3" i="12"/>
  <c r="X11" i="12"/>
  <c r="X15" i="12"/>
  <c r="X20" i="12"/>
  <c r="Y22" i="12"/>
  <c r="Y26" i="12"/>
  <c r="X36" i="12"/>
  <c r="Y47" i="12"/>
  <c r="Y63" i="12"/>
  <c r="Z61" i="12"/>
  <c r="Z15" i="12"/>
  <c r="S15" i="12" s="1"/>
  <c r="Z20" i="12"/>
  <c r="Z26" i="12"/>
  <c r="S26" i="12" s="1"/>
  <c r="Z36" i="12"/>
  <c r="S36" i="12" s="1"/>
  <c r="Z44" i="12"/>
  <c r="S44" i="12" s="1"/>
  <c r="Z52" i="12"/>
  <c r="S52" i="12" s="1"/>
  <c r="X35" i="12"/>
  <c r="AA35" i="12" s="1"/>
  <c r="X43" i="12"/>
  <c r="AA43" i="12" s="1"/>
  <c r="Y59" i="12"/>
  <c r="X56" i="12"/>
  <c r="Y54" i="12"/>
  <c r="Y62" i="12"/>
  <c r="Z7" i="12"/>
  <c r="Y14" i="12"/>
  <c r="X19" i="12"/>
  <c r="AA19" i="12" s="1"/>
  <c r="X51" i="12"/>
  <c r="X59" i="12"/>
  <c r="AA59" i="12" s="1"/>
  <c r="Y43" i="12"/>
  <c r="Y51" i="12"/>
  <c r="X64" i="12"/>
  <c r="Y27" i="12"/>
  <c r="X31" i="12"/>
  <c r="Z17" i="12"/>
  <c r="Z50" i="12"/>
  <c r="Y25" i="12"/>
  <c r="X25" i="12"/>
  <c r="Z48" i="12"/>
  <c r="S48" i="12" s="1"/>
  <c r="Z63" i="12"/>
  <c r="S63" i="12" s="1"/>
  <c r="Y41" i="12"/>
  <c r="Y9" i="12"/>
  <c r="X9" i="12"/>
  <c r="Z62" i="12"/>
  <c r="X26" i="12"/>
  <c r="AA26" i="12" s="1"/>
  <c r="X8" i="12"/>
  <c r="X34" i="12"/>
  <c r="Z13" i="12"/>
  <c r="S13" i="12" s="1"/>
  <c r="X21" i="12"/>
  <c r="Z41" i="12"/>
  <c r="S41" i="12" s="1"/>
  <c r="Z22" i="12"/>
  <c r="S22" i="12" s="1"/>
  <c r="Z47" i="12"/>
  <c r="S47" i="12" s="1"/>
  <c r="X53" i="12"/>
  <c r="Y65" i="12"/>
  <c r="Z5" i="12"/>
  <c r="X39" i="12"/>
  <c r="AA39" i="12" s="1"/>
  <c r="X3" i="12"/>
  <c r="X47" i="12"/>
  <c r="AA47" i="12" s="1"/>
  <c r="Z60" i="12"/>
  <c r="S60" i="12" s="1"/>
  <c r="Z21" i="12"/>
  <c r="X10" i="12"/>
  <c r="Z40" i="12"/>
  <c r="S40" i="12" s="1"/>
  <c r="Z59" i="12"/>
  <c r="Z39" i="12"/>
  <c r="S39" i="12" s="1"/>
  <c r="Y7" i="12"/>
  <c r="Y5" i="12"/>
  <c r="Z54" i="12"/>
  <c r="S54" i="12" s="1"/>
  <c r="Z3" i="12"/>
  <c r="S3" i="12" s="1"/>
  <c r="X32" i="12"/>
  <c r="AA32" i="12" s="1"/>
  <c r="Z12" i="12"/>
  <c r="S12" i="12" s="1"/>
  <c r="X13" i="12"/>
  <c r="Z33" i="12"/>
  <c r="S33" i="12" s="1"/>
  <c r="Z14" i="12"/>
  <c r="S14" i="12" s="1"/>
  <c r="Y31" i="12"/>
  <c r="X63" i="12"/>
  <c r="AA63" i="12" s="1"/>
  <c r="Y29" i="12"/>
  <c r="X38" i="12"/>
  <c r="AA38" i="12" s="1"/>
  <c r="Y50" i="12"/>
  <c r="Y58" i="12"/>
  <c r="X7" i="12"/>
  <c r="AA7" i="12" s="1"/>
  <c r="Z28" i="12"/>
  <c r="X16" i="12"/>
  <c r="Y53" i="12"/>
  <c r="X37" i="12"/>
  <c r="Y57" i="12"/>
  <c r="Z35" i="12"/>
  <c r="S35" i="12" s="1"/>
  <c r="X65" i="12"/>
  <c r="X49" i="12"/>
  <c r="X46" i="12"/>
  <c r="X22" i="12"/>
  <c r="Y64" i="12"/>
  <c r="Y23" i="12"/>
  <c r="X5" i="12"/>
  <c r="AA5" i="12" s="1"/>
  <c r="Z32" i="12"/>
  <c r="S32" i="12" s="1"/>
  <c r="Z6" i="12"/>
  <c r="S6" i="12" s="1"/>
  <c r="Z65" i="12"/>
  <c r="S65" i="12" s="1"/>
  <c r="Y17" i="12"/>
  <c r="Y12" i="12"/>
  <c r="Z46" i="12"/>
  <c r="S46" i="12" s="1"/>
  <c r="Y10" i="12"/>
  <c r="X17" i="12"/>
  <c r="AA17" i="12" s="1"/>
  <c r="Y34" i="12"/>
  <c r="Y38" i="12"/>
  <c r="Y42" i="12"/>
  <c r="Y61" i="12"/>
  <c r="X6" i="12"/>
  <c r="Y45" i="12"/>
  <c r="Z27" i="12"/>
  <c r="S27" i="12" s="1"/>
  <c r="Z55" i="12"/>
  <c r="S55" i="12" s="1"/>
  <c r="Y33" i="12"/>
  <c r="X57" i="12"/>
  <c r="X41" i="12"/>
  <c r="AA41" i="12" s="1"/>
  <c r="Y60" i="12"/>
  <c r="Y13" i="12"/>
  <c r="X58" i="12"/>
  <c r="AA58" i="12" s="1"/>
  <c r="Y21" i="12"/>
  <c r="Z29" i="12"/>
  <c r="S29" i="12" s="1"/>
  <c r="X29" i="12"/>
  <c r="AA29" i="12" s="1"/>
  <c r="Z30" i="12"/>
  <c r="S30" i="12" s="1"/>
  <c r="Z42" i="12"/>
  <c r="Y18" i="12"/>
  <c r="Z58" i="12"/>
  <c r="S58" i="12" s="1"/>
  <c r="Y56" i="12"/>
  <c r="Y2" i="12"/>
  <c r="Z64" i="12"/>
  <c r="S64" i="12" s="1"/>
  <c r="X23" i="12"/>
  <c r="Z51" i="12"/>
  <c r="S51" i="12" s="1"/>
  <c r="Y28" i="12"/>
  <c r="Z38" i="12"/>
  <c r="Y44" i="12"/>
  <c r="Y52" i="12"/>
  <c r="Z11" i="12"/>
  <c r="S11" i="12" s="1"/>
  <c r="X50" i="12"/>
  <c r="AA50" i="12" s="1"/>
  <c r="X18" i="12"/>
  <c r="AA18" i="12" s="1"/>
  <c r="Z57" i="12"/>
  <c r="S57" i="12" s="1"/>
  <c r="Z16" i="12"/>
  <c r="S16" i="12" s="1"/>
  <c r="X2" i="12"/>
  <c r="AA2" i="12" s="1"/>
  <c r="Z34" i="12"/>
  <c r="S34" i="12" s="1"/>
  <c r="Z2" i="12"/>
  <c r="S2" i="12" s="1"/>
  <c r="Z56" i="12"/>
  <c r="S56" i="12" s="1"/>
  <c r="Y20" i="12"/>
  <c r="Y40" i="12"/>
  <c r="AA40" i="12" s="1"/>
  <c r="X54" i="12"/>
  <c r="X45" i="12"/>
  <c r="Z43" i="12"/>
  <c r="Z23" i="12"/>
  <c r="S23" i="12" s="1"/>
  <c r="Z18" i="12"/>
  <c r="Y6" i="12"/>
  <c r="X55" i="12"/>
  <c r="AA55" i="12" s="1"/>
  <c r="Y48" i="12"/>
  <c r="Z31" i="12"/>
  <c r="S31" i="12" s="1"/>
  <c r="X61" i="12"/>
  <c r="X12" i="12"/>
  <c r="Y49" i="12"/>
  <c r="Z19" i="12"/>
  <c r="X33" i="12"/>
  <c r="Y36" i="12"/>
  <c r="Y8" i="12"/>
  <c r="X42" i="12"/>
  <c r="AA42" i="12" s="1"/>
  <c r="Y16" i="12"/>
  <c r="X62" i="12"/>
  <c r="AA62" i="12" s="1"/>
  <c r="Z49" i="12"/>
  <c r="S49" i="12" s="1"/>
  <c r="Z8" i="12"/>
  <c r="S8" i="12" s="1"/>
  <c r="Y11" i="12"/>
  <c r="Y46" i="12"/>
  <c r="X30" i="12"/>
  <c r="AA30" i="12" s="1"/>
  <c r="Y4" i="12"/>
  <c r="Y15" i="12"/>
  <c r="Y32" i="12"/>
  <c r="Z25" i="12"/>
  <c r="S25" i="12" s="1"/>
  <c r="X28" i="12"/>
  <c r="AA28" i="12" s="1"/>
  <c r="X14" i="12"/>
  <c r="AA14" i="12" s="1"/>
  <c r="Y37" i="12"/>
  <c r="Z9" i="12"/>
  <c r="S9" i="12" s="1"/>
  <c r="S50" i="12"/>
  <c r="S21" i="12"/>
  <c r="S43" i="12"/>
  <c r="S5" i="12"/>
  <c r="Z10" i="12"/>
  <c r="S10" i="12" s="1"/>
  <c r="S19" i="12"/>
  <c r="S59" i="12"/>
  <c r="S28" i="12"/>
  <c r="S38" i="12"/>
  <c r="S45" i="12"/>
  <c r="S42" i="12"/>
  <c r="S61" i="12"/>
  <c r="S62" i="12"/>
  <c r="S18" i="12"/>
  <c r="S17" i="12"/>
  <c r="S37" i="12"/>
  <c r="B7" i="5"/>
  <c r="B5" i="5"/>
  <c r="B6" i="12"/>
  <c r="B7" i="1"/>
  <c r="AA12" i="12" l="1"/>
  <c r="AA9" i="12"/>
  <c r="AA34" i="12"/>
  <c r="AA23" i="12"/>
  <c r="AA33" i="12"/>
  <c r="AA37" i="12"/>
  <c r="AA10" i="12"/>
  <c r="AA53" i="12"/>
  <c r="AA8" i="12"/>
  <c r="AA25" i="12"/>
  <c r="AA56" i="12"/>
  <c r="AA20" i="12"/>
  <c r="AA15" i="12"/>
  <c r="AA6" i="12"/>
  <c r="AA22" i="12"/>
  <c r="AA16" i="12"/>
  <c r="AA51" i="12"/>
  <c r="AA11" i="12"/>
  <c r="AA48" i="12"/>
  <c r="AA46" i="12"/>
  <c r="AA4" i="12"/>
  <c r="AA61" i="12"/>
  <c r="AA45" i="12"/>
  <c r="AA49" i="12"/>
  <c r="AA3" i="12"/>
  <c r="AA31" i="12"/>
  <c r="AA54" i="12"/>
  <c r="AA57" i="12"/>
  <c r="AA65" i="12"/>
  <c r="AA13" i="12"/>
  <c r="AA21" i="12"/>
  <c r="AA36" i="12"/>
  <c r="AA60" i="12"/>
  <c r="AA64" i="12"/>
  <c r="AA52" i="12"/>
  <c r="AA27" i="12"/>
  <c r="B3" i="5"/>
  <c r="B9" i="5" s="1"/>
  <c r="D34" i="3" s="1"/>
  <c r="E17" i="12"/>
  <c r="E5" i="12"/>
  <c r="E20" i="12"/>
  <c r="B25" i="12"/>
  <c r="B32" i="3"/>
  <c r="E16" i="12"/>
  <c r="E9" i="12"/>
  <c r="E6" i="12"/>
  <c r="E21" i="12"/>
  <c r="E13" i="12"/>
  <c r="E12" i="12"/>
  <c r="E8" i="12"/>
  <c r="E10" i="12"/>
  <c r="E23" i="12"/>
  <c r="E18" i="12"/>
  <c r="E2" i="12"/>
  <c r="E3" i="12"/>
  <c r="E15" i="12"/>
  <c r="E22" i="12"/>
  <c r="E4" i="12"/>
  <c r="E7" i="12"/>
  <c r="E11" i="12"/>
  <c r="E19" i="12"/>
  <c r="E14" i="12"/>
  <c r="B15" i="12"/>
  <c r="B7" i="12"/>
  <c r="B26" i="12" s="1"/>
  <c r="B14" i="12"/>
  <c r="B8" i="1"/>
  <c r="B23" i="3"/>
  <c r="B25" i="1"/>
  <c r="B25" i="3"/>
  <c r="B5" i="1"/>
  <c r="B3" i="12"/>
  <c r="B28" i="3" s="1"/>
  <c r="B4" i="12"/>
  <c r="C11" i="3" l="1"/>
  <c r="B34" i="3"/>
  <c r="A37" i="3" s="1"/>
  <c r="B30" i="3"/>
  <c r="B16" i="12"/>
  <c r="B17" i="12" s="1"/>
  <c r="B33" i="3"/>
  <c r="B29" i="3" s="1"/>
  <c r="B3" i="1"/>
  <c r="B28" i="1" s="1"/>
  <c r="B4" i="1"/>
  <c r="B24" i="1" s="1"/>
  <c r="B28" i="12"/>
  <c r="B24" i="12"/>
  <c r="B29" i="12"/>
  <c r="B26" i="1"/>
  <c r="B26" i="3" s="1"/>
  <c r="B22" i="3" s="1"/>
  <c r="F33" i="3" l="1"/>
  <c r="G33" i="3" s="1"/>
  <c r="B29" i="1"/>
  <c r="D32" i="3"/>
  <c r="F32" i="3" s="1"/>
  <c r="G32" i="3" s="1"/>
  <c r="D29" i="3"/>
  <c r="F29" i="3"/>
  <c r="G29" i="3" s="1"/>
  <c r="E30" i="3"/>
  <c r="F30" i="3" s="1"/>
  <c r="G30" i="3" s="1"/>
  <c r="F22" i="3"/>
  <c r="G22" i="3" s="1"/>
  <c r="E23" i="3"/>
  <c r="F23" i="3" s="1"/>
  <c r="G23" i="3" s="1"/>
  <c r="D26" i="3"/>
  <c r="F26" i="3" s="1"/>
  <c r="G26" i="3" s="1"/>
  <c r="D25" i="3"/>
  <c r="F25" i="3" s="1"/>
  <c r="G25" i="3" s="1"/>
  <c r="B21" i="3"/>
  <c r="D22" i="3" s="1"/>
  <c r="A11" i="3"/>
  <c r="D38" i="3" l="1"/>
  <c r="A36" i="3"/>
  <c r="A35" i="3"/>
</calcChain>
</file>

<file path=xl/sharedStrings.xml><?xml version="1.0" encoding="utf-8"?>
<sst xmlns="http://schemas.openxmlformats.org/spreadsheetml/2006/main" count="1321" uniqueCount="301">
  <si>
    <t>Parameter:</t>
  </si>
  <si>
    <t>Codierung</t>
  </si>
  <si>
    <t>Validität</t>
  </si>
  <si>
    <t>Score</t>
  </si>
  <si>
    <t>Konsistenz</t>
  </si>
  <si>
    <t>richtig-positiv</t>
  </si>
  <si>
    <t>falsch-negativ</t>
  </si>
  <si>
    <t>Anzahl Isolate:</t>
  </si>
  <si>
    <t>richtig-positiv:</t>
  </si>
  <si>
    <t>richtig-negativ</t>
  </si>
  <si>
    <t>falsch-positiv</t>
  </si>
  <si>
    <t>richtig-negativ:</t>
  </si>
  <si>
    <t>falsch-positiv:</t>
  </si>
  <si>
    <t>Datum</t>
  </si>
  <si>
    <t>Methode</t>
  </si>
  <si>
    <t>Gattung</t>
  </si>
  <si>
    <t>Art</t>
  </si>
  <si>
    <t>verwendeter Organismus</t>
  </si>
  <si>
    <t>Version:</t>
  </si>
  <si>
    <t>erstellt von:</t>
  </si>
  <si>
    <t>Validierungsset:</t>
  </si>
  <si>
    <t>Validierungsergebnis</t>
  </si>
  <si>
    <t>erstellt am:</t>
  </si>
  <si>
    <t>Eine unterschriebene Version dieses Validierungsreports befindet sich im erstellenden Labor.</t>
  </si>
  <si>
    <t>geprüft von:</t>
  </si>
  <si>
    <t>geprüft am:</t>
  </si>
  <si>
    <t>am (Datum)</t>
  </si>
  <si>
    <t>von (Hdz.)</t>
  </si>
  <si>
    <t>für (Abteilung / Bereich)</t>
  </si>
  <si>
    <t>Freigabe an Standort</t>
  </si>
  <si>
    <t>als Prüfmethode für Parameter in LIMS eingepflegt</t>
  </si>
  <si>
    <t>Kommentar:</t>
  </si>
  <si>
    <t>verwendete Gattung</t>
  </si>
  <si>
    <t>verwendete Art</t>
  </si>
  <si>
    <t>1. Hit</t>
  </si>
  <si>
    <t>2. Hit</t>
  </si>
  <si>
    <t>1. Hit Treffer Parameter</t>
  </si>
  <si>
    <t>2. Hit Treffer Parameter</t>
  </si>
  <si>
    <t>Parameter wird getroffen mit:</t>
  </si>
  <si>
    <t>nicht zugeordnet</t>
  </si>
  <si>
    <t>falsch zugeordnet</t>
  </si>
  <si>
    <t>falsch als Parameter identifiziert</t>
  </si>
  <si>
    <t>keine richtige ID</t>
  </si>
  <si>
    <t>richtige ID</t>
  </si>
  <si>
    <t>Verwendete Datenbank / Programmversion</t>
  </si>
  <si>
    <t>BT 4.0</t>
  </si>
  <si>
    <t>Inklusivität</t>
  </si>
  <si>
    <t>Exklusivität</t>
  </si>
  <si>
    <t>Richtig-Positiv Rate</t>
  </si>
  <si>
    <t>Falsch-Positiv Rate</t>
  </si>
  <si>
    <t>Falsch-Negativ Rate</t>
  </si>
  <si>
    <t>Richtig-Negativ Rate</t>
  </si>
  <si>
    <t>Identifiziert Rate</t>
  </si>
  <si>
    <t>Zielgerichtete Identifizierung</t>
  </si>
  <si>
    <t>Identifiziert</t>
  </si>
  <si>
    <t>davon Identifiziert</t>
  </si>
  <si>
    <t>erfüllt</t>
  </si>
  <si>
    <t>Ziel-Parameter:</t>
  </si>
  <si>
    <t>Umfeld</t>
  </si>
  <si>
    <t>Anwendung</t>
  </si>
  <si>
    <t>Zahl aller Spektren</t>
  </si>
  <si>
    <t>davon mit ID-Ergebnis</t>
  </si>
  <si>
    <t>davon Eigenspektren</t>
  </si>
  <si>
    <t>Nicht-Ziel-Parameter</t>
  </si>
  <si>
    <t>Test auf spektrale Nähe</t>
  </si>
  <si>
    <t>Anteil nah verwandter Sp</t>
  </si>
  <si>
    <t>SOLL</t>
  </si>
  <si>
    <t xml:space="preserve">Positive Übereinstimmungen (PA) </t>
  </si>
  <si>
    <t>Positive Abweichungen (PD)</t>
  </si>
  <si>
    <r>
      <t>Negative Abweichungen (</t>
    </r>
    <r>
      <rPr>
        <sz val="8"/>
        <color rgb="FFFF0000"/>
        <rFont val="Calibri"/>
        <family val="2"/>
      </rPr>
      <t>ND)</t>
    </r>
  </si>
  <si>
    <t>Negative Übereinstimmungen (NA)</t>
  </si>
  <si>
    <t>Eigenspektrum</t>
  </si>
  <si>
    <t>Eigen ID</t>
  </si>
  <si>
    <t>sind somit</t>
  </si>
  <si>
    <t>Die Kriterien für die</t>
  </si>
  <si>
    <t>In Bezug auf Identifizierte:</t>
  </si>
  <si>
    <t>von allen identifizierten Isolaten</t>
  </si>
  <si>
    <t>nicht identifiziert:</t>
  </si>
  <si>
    <t>PM unter den ersten 2 Hits</t>
  </si>
  <si>
    <t>nicht identifiziert in %</t>
  </si>
  <si>
    <t>falsch zugeordnert in %</t>
  </si>
  <si>
    <t>in %</t>
  </si>
  <si>
    <t>Test auf spektrale Nähe zum Parameter</t>
  </si>
  <si>
    <t>Scorewertgrenzen:</t>
  </si>
  <si>
    <t>Species</t>
  </si>
  <si>
    <t>Genus</t>
  </si>
  <si>
    <t>Es werden nur identifizierte Proben für die Ermittlung der In- und Exklusivität herangezogen.</t>
  </si>
  <si>
    <t>Falsch-negativ: Kriterien für richtig-positiv werden nicht erfüllt</t>
  </si>
  <si>
    <t>nach den Leitlinien zur MALDI-Validierung der §64 AG MALDI am BVL, 12.04.2021</t>
  </si>
  <si>
    <t>Gattung (Genus)</t>
  </si>
  <si>
    <t>Art (Spezies)</t>
  </si>
  <si>
    <t>Score zur Unterscheidung der Spezies</t>
  </si>
  <si>
    <t>Score zur Unterscheidung der Gattung</t>
  </si>
  <si>
    <t>Settings für die Validierung</t>
  </si>
  <si>
    <t>Institution / Labor</t>
  </si>
  <si>
    <t>Parameter</t>
  </si>
  <si>
    <t>Unterscheidungsgrenzen</t>
  </si>
  <si>
    <t>Es wird gegen eine nur aus dem Parameter bestehende DB geprüft.</t>
  </si>
  <si>
    <t>Es wird die gesamte zu überprüfende Datenbank verwendet.</t>
  </si>
  <si>
    <t>3; 16S rDNA-sequencing</t>
  </si>
  <si>
    <t>Blaue Schrift: Dateneingaben</t>
  </si>
  <si>
    <t>Beta-Version mit der Bitte um Rückmeldung an MALDI-UP@UA-BW.de,</t>
  </si>
  <si>
    <t>wenn Fehler erkannt werden oder sie Verbesserungen angeregen wollen.</t>
  </si>
  <si>
    <t>Lutjanus</t>
  </si>
  <si>
    <t>argentimaculatus</t>
  </si>
  <si>
    <t>RB</t>
  </si>
  <si>
    <t>Bonke</t>
  </si>
  <si>
    <t>Identifikation / Muskelfleisch von Vertretern der Gattung Lutjanus sp.</t>
  </si>
  <si>
    <t>Lebensmittel, Muskelfleisch im Gewebsverband, ausschließlich roh, gefroren und unbehandelt</t>
  </si>
  <si>
    <t xml:space="preserve">Fisch-Datenbank V 01 </t>
  </si>
  <si>
    <t>Aufreinigungsmethode: OSextr [0007]</t>
  </si>
  <si>
    <t>Zustand der Probe bei sonstigen Materialien: gefroren</t>
  </si>
  <si>
    <t>II, III</t>
  </si>
  <si>
    <t>Fisch_057</t>
  </si>
  <si>
    <t>Fisch_068</t>
  </si>
  <si>
    <t>Fisch_070</t>
  </si>
  <si>
    <t>Fisch_170</t>
  </si>
  <si>
    <t>Fisch_192</t>
  </si>
  <si>
    <t>Fisch_318</t>
  </si>
  <si>
    <t>Fisch_328</t>
  </si>
  <si>
    <t>Fisch_377</t>
  </si>
  <si>
    <t>Fisch_461</t>
  </si>
  <si>
    <t>Fisch_487</t>
  </si>
  <si>
    <t>Fisch_503</t>
  </si>
  <si>
    <t>Fisch_509</t>
  </si>
  <si>
    <t>Fisch_519</t>
  </si>
  <si>
    <t>Fisch_520</t>
  </si>
  <si>
    <t>Fisch_538</t>
  </si>
  <si>
    <t>Fisch_624</t>
  </si>
  <si>
    <t>Fisch_643</t>
  </si>
  <si>
    <t>Fisch_646</t>
  </si>
  <si>
    <t>Fisch_671</t>
  </si>
  <si>
    <t>Fisch_682</t>
  </si>
  <si>
    <t>Fisch_711</t>
  </si>
  <si>
    <t>Fisch_747</t>
  </si>
  <si>
    <t>Fisch_770</t>
  </si>
  <si>
    <t>Fisch_851</t>
  </si>
  <si>
    <t>Lutjanus argentimaculatus_SF100_TFAextr_3</t>
  </si>
  <si>
    <t>TFAextr</t>
  </si>
  <si>
    <t>Lutjanus argentimaculatus_SF149_TFAextr_3</t>
  </si>
  <si>
    <t xml:space="preserve">Lutjanus </t>
  </si>
  <si>
    <t>bohar</t>
  </si>
  <si>
    <t>Fisch_589</t>
  </si>
  <si>
    <t>Fisch_619</t>
  </si>
  <si>
    <t>Fisch_634</t>
  </si>
  <si>
    <t>Fisch_644</t>
  </si>
  <si>
    <t>Fisch_647</t>
  </si>
  <si>
    <t>Fisch_660</t>
  </si>
  <si>
    <t>Fisch_737</t>
  </si>
  <si>
    <t>erythropterus</t>
  </si>
  <si>
    <t>Fisch_303</t>
  </si>
  <si>
    <t>goreensis</t>
  </si>
  <si>
    <t>Fisch_467</t>
  </si>
  <si>
    <t>Fisch_605</t>
  </si>
  <si>
    <t>Fisch_718</t>
  </si>
  <si>
    <t>lemniscatus</t>
  </si>
  <si>
    <t>Fisch_547</t>
  </si>
  <si>
    <t>Fisch_562</t>
  </si>
  <si>
    <t>Fisch_586</t>
  </si>
  <si>
    <t>Fisch_593</t>
  </si>
  <si>
    <t>Fisch_595</t>
  </si>
  <si>
    <t>Fisch_621</t>
  </si>
  <si>
    <t>Fisch_635</t>
  </si>
  <si>
    <t>Fisch_640</t>
  </si>
  <si>
    <t>Fisch_645</t>
  </si>
  <si>
    <t>Fisch_650</t>
  </si>
  <si>
    <t>Fisch_652</t>
  </si>
  <si>
    <t>Fisch_697</t>
  </si>
  <si>
    <t>Lutjanus bohar_195302507-2_Fisch_589_18102019_LHL GI</t>
  </si>
  <si>
    <t>Lutjanus bohar_195302703-3_Fisch_619_18102019_LHL GI</t>
  </si>
  <si>
    <t>Lutjanus bohar_195302918-6_Fisch_644_13022021_LHL GI</t>
  </si>
  <si>
    <t>Lutjanus bohar_195302918-9_Fisch_647_12022021_LHL GI</t>
  </si>
  <si>
    <t>Lutjanus bohar_195303066-2_Fisch_660_17102019_LHL GI</t>
  </si>
  <si>
    <t>Lutjanus bohar_195303388-3_Fisch_634_17102019_LHL GI</t>
  </si>
  <si>
    <t>Lutjanus bohar_195304357-3_Fisch_737_18072020_LHL GI</t>
  </si>
  <si>
    <t>Lutjanus erythropterus_185302118-3_Fisch_303_28012021_LHL GI</t>
  </si>
  <si>
    <t>Lutjanus goreensis_195301699-1_Fisch_467_15072020_LHL GI</t>
  </si>
  <si>
    <t>Lutjanus goreensis_195302672-6_Fisch_605_08042021_LHL GI</t>
  </si>
  <si>
    <t>Lutjanus goreensis_195304927-5_Fisch_718_25072020_LHL GI</t>
  </si>
  <si>
    <t>Lutjanus lemniscatus_195302173-2_Fisch_562_18102019_LHL GI</t>
  </si>
  <si>
    <t>Lutjanus lemniscatus_195302184-3_Fisch_547_18102019_LHL GI</t>
  </si>
  <si>
    <t>Lutjanus lemniscatus_195302518-9_Fisch_586_18102019_LHL GI</t>
  </si>
  <si>
    <t>Lutjanus lemniscatus_195302530-1_Fisch_593_18102019_LHL GI</t>
  </si>
  <si>
    <t>Lutjanus lemniscatus_195302530-3_Fisch_595_08032021_LHL GI</t>
  </si>
  <si>
    <t>Lutjanus lemniscatus_195302531-2_Fisch_621_18102019_LHL GI</t>
  </si>
  <si>
    <t>Lutjanus lemniscatus_195302918-2_Fisch_640_17102019_LHL GI</t>
  </si>
  <si>
    <t>Lutjanus lemniscatus_195302918-7_Fisch_645_17102019_LHL GI</t>
  </si>
  <si>
    <t>Lutjanus lemniscatus_195302919-3_Fisch_650_17102019_LHL GI</t>
  </si>
  <si>
    <t>Lutjanus lemniscatus_195302919-5_Fisch_652_17102019_LHL GI</t>
  </si>
  <si>
    <t>Lutjanus lemniscatus_195302937-2_Fisch_697_17102019_LHL GI</t>
  </si>
  <si>
    <t>Lutjanus lemniscatus_195303083-1_Fisch_635_17102019_LHL GI</t>
  </si>
  <si>
    <t>SF89</t>
  </si>
  <si>
    <t>SF99</t>
  </si>
  <si>
    <t>Epinephelus coioides_175308406-3_Fisch_210_28012021_LHL GI</t>
  </si>
  <si>
    <t>Epinephelus coioides_185302118-1_Fisch_301_18102018_LHL GI</t>
  </si>
  <si>
    <t>Epinephelus coioides_185303309-2_Fisch_319_28012021_LHL GI</t>
  </si>
  <si>
    <t>Epinephelus coioides_185305058-2_Fisch_526_23032019_LHL GI</t>
  </si>
  <si>
    <t>Epinephelus coioides_195302074-3_Fisch_481_04102019_LHL GI</t>
  </si>
  <si>
    <t>Epinephelus coioides_195302670-6_Fisch_616_25022021_LHL GI</t>
  </si>
  <si>
    <t>Epinephelus coioides_195302671-3_Fisch_609_18102019_LHL GI</t>
  </si>
  <si>
    <t>Epinephelus coioides_195302918-10_Fisch_648_17102019_LHL GI</t>
  </si>
  <si>
    <t>Epinephelus coioides_195303083-4_Fisch_638_17102019_LHL GI</t>
  </si>
  <si>
    <t>Epinephelus coioides_195303131-6_Fisch_693_12022021_LHL GI</t>
  </si>
  <si>
    <t>Epinephelus faveatus_195301870-2_Fisch_484_12032021_LHL GI</t>
  </si>
  <si>
    <t>Epinephelus malabaricus_175308063-7_Fisch_236_10112018_LHL GI</t>
  </si>
  <si>
    <t>Epinephelus malabaricus_175308070-2_Fisch_190_10112018_LHL GI</t>
  </si>
  <si>
    <t>Epinephelus malabaricus_175308070-3_Fisch_191_10112018_LHL GI</t>
  </si>
  <si>
    <t>Epinephelus malabaricus_175308406-4_Fisch_211_15122017_LHL GI</t>
  </si>
  <si>
    <t>Epinephelus malabaricus_175308406-5_Fisch_212_15122017_LHL GI</t>
  </si>
  <si>
    <t>Epinephelus malabaricus_175308941-1_Fisch_196_10112018_LHL GI</t>
  </si>
  <si>
    <t>Epinephelus malabaricus_175309827-3_Fisch_188_14112018_LHL GI</t>
  </si>
  <si>
    <t>Epinephelus malabaricus_185302245-4_Fisch_275_12102018_LHL GI</t>
  </si>
  <si>
    <t>Epinephelus malabaricus_185302245-8_Fisch_279_28012021_LHL GI</t>
  </si>
  <si>
    <t>Epinephelus malabaricus_185303054-4_Fisch_263_19102018_LHL GI</t>
  </si>
  <si>
    <t>Epinephelus malabaricus_185303715-1_Fisch_320_17102018_LHL GI</t>
  </si>
  <si>
    <t>Epinephelus malabaricus_185309413-3_Fisch_500_23032019_LHL GI</t>
  </si>
  <si>
    <t>Epinephelus malabaricus_185309638-2_Fisch_502_12022021_LHL GI</t>
  </si>
  <si>
    <t>Epinephelus malabaricus_185309653-1_Fisch_514_23032019_LHL GI</t>
  </si>
  <si>
    <t>Epinephelus malabaricus_195301523-1_Fisch_444_09022021_LHL GI</t>
  </si>
  <si>
    <t>Epinephelus malabaricus_195301523-2_Fisch_445_12022021_LHL GI</t>
  </si>
  <si>
    <t>Epinephelus malabaricus_195301856-2_Fisch_405_23032019_LHL GI</t>
  </si>
  <si>
    <t>Epinephelus malabaricus_195301869-3_Fisch_376_23032019_LHL GI</t>
  </si>
  <si>
    <t>Epinephelus malabaricus_195302087-2_Fisch_462_12022021_LHL GI</t>
  </si>
  <si>
    <t>Epinephelus malabaricus_195302172-2_Fisch_568_18102019_LHL GI</t>
  </si>
  <si>
    <t>Epinephelus malabaricus_195302262-5_Fisch_560_12022021_LHL GI</t>
  </si>
  <si>
    <t>Epinephelus malabaricus_195302507-5_Fisch_592_18102019_LHL GI</t>
  </si>
  <si>
    <t>Epinephelus malabaricus_195302530-2_Fisch_594_18102019_LHL GI</t>
  </si>
  <si>
    <t>Epinephelus malabaricus_195302568-1_Fisch_625_18102019_LHL GI</t>
  </si>
  <si>
    <t>Epinephelus malabaricus_195302670-5_Fisch_615_18102019_LHL GI</t>
  </si>
  <si>
    <t>Epinephelus malabaricus_195302703-1_Fisch_617_12022021_LHL GI</t>
  </si>
  <si>
    <t>Epinephelus malabaricus_195303127-6_Fisch_680_08032021_LHL GI</t>
  </si>
  <si>
    <t>Epinephelus malabaricus_195303131-5_Fisch_692_12022021_LHL GI</t>
  </si>
  <si>
    <t>Epinephelus malabaricus_195303131-7_Fisch_694_17102019_LHL GI</t>
  </si>
  <si>
    <t>Epinephelus malabaricus_195303561-1_Fisch_685_12022021_LHL GI</t>
  </si>
  <si>
    <t>Epinephelus malabaricus_195304349-2_Fisch_731_23072020_LHL GI</t>
  </si>
  <si>
    <t>Fisch_210</t>
  </si>
  <si>
    <t>Fisch_301</t>
  </si>
  <si>
    <t>Fisch_319</t>
  </si>
  <si>
    <t>Fisch_526</t>
  </si>
  <si>
    <t>Fisch_481</t>
  </si>
  <si>
    <t>Fisch_616</t>
  </si>
  <si>
    <t>Fisch_609</t>
  </si>
  <si>
    <t>Fisch_648</t>
  </si>
  <si>
    <t>Fisch_638</t>
  </si>
  <si>
    <t>Fisch_693</t>
  </si>
  <si>
    <t>Fisch_484</t>
  </si>
  <si>
    <t>Fisch_236</t>
  </si>
  <si>
    <t>Fisch_190</t>
  </si>
  <si>
    <t>Fisch_191</t>
  </si>
  <si>
    <t>Fisch_211</t>
  </si>
  <si>
    <t>Fisch_212</t>
  </si>
  <si>
    <t>Fisch_196</t>
  </si>
  <si>
    <t>Fisch_188</t>
  </si>
  <si>
    <t>Fisch_275</t>
  </si>
  <si>
    <t>Fisch_279</t>
  </si>
  <si>
    <t>Fisch_263</t>
  </si>
  <si>
    <t>Fisch_320</t>
  </si>
  <si>
    <t>Fisch_500</t>
  </si>
  <si>
    <t>Fisch_502</t>
  </si>
  <si>
    <t>Fisch_514</t>
  </si>
  <si>
    <t>Fisch_444</t>
  </si>
  <si>
    <t>Fisch_445</t>
  </si>
  <si>
    <t>Fisch_405</t>
  </si>
  <si>
    <t>Fisch_376</t>
  </si>
  <si>
    <t>Fisch_462</t>
  </si>
  <si>
    <t>Fisch_568</t>
  </si>
  <si>
    <t>Fisch_560</t>
  </si>
  <si>
    <t>Fisch_592</t>
  </si>
  <si>
    <t>Fisch_594</t>
  </si>
  <si>
    <t>Fisch_625</t>
  </si>
  <si>
    <t>Fisch_615</t>
  </si>
  <si>
    <t>Fisch_617</t>
  </si>
  <si>
    <t>Fisch_680</t>
  </si>
  <si>
    <t>Fisch_692</t>
  </si>
  <si>
    <t>Fisch_694</t>
  </si>
  <si>
    <t>Fisch_685</t>
  </si>
  <si>
    <t>Fisch_731</t>
  </si>
  <si>
    <t>Epinephelus</t>
  </si>
  <si>
    <t>faveatus</t>
  </si>
  <si>
    <t>malabaricus</t>
  </si>
  <si>
    <t>Fisch_166</t>
  </si>
  <si>
    <t>Fisch_181</t>
  </si>
  <si>
    <t>Fisch_195</t>
  </si>
  <si>
    <t>Fisch_201</t>
  </si>
  <si>
    <t>Fisch_229</t>
  </si>
  <si>
    <t>Fisch_235</t>
  </si>
  <si>
    <t>Fisch_273</t>
  </si>
  <si>
    <t>Fisch_446</t>
  </si>
  <si>
    <t>Fisch_456</t>
  </si>
  <si>
    <t>Fisch_465</t>
  </si>
  <si>
    <t>Fisch_475</t>
  </si>
  <si>
    <t>Fisch_478</t>
  </si>
  <si>
    <t>Fisch_563</t>
  </si>
  <si>
    <t>Fisch_626</t>
  </si>
  <si>
    <t>Fisch_676</t>
  </si>
  <si>
    <t>Fisch_679</t>
  </si>
  <si>
    <t>Fisch_702</t>
  </si>
  <si>
    <t>Fisch_740</t>
  </si>
  <si>
    <t>Lutjanus sp.</t>
  </si>
  <si>
    <t>coicoides</t>
  </si>
  <si>
    <t>LHL 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</si>
</sst>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%"/>
    <numFmt numFmtId="166" formatCode="0.0"/>
  </numFmts>
  <fonts count="4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rgb="FF0070C0"/>
      <name val="Calibri"/>
      <family val="2"/>
      <scheme val="minor"/>
    </font>
    <font>
      <sz val="16"/>
      <color theme="1"/>
      <name val="Arial"/>
      <family val="2"/>
    </font>
    <font>
      <sz val="11"/>
      <color rgb="FF0070C0"/>
      <name val="Arial"/>
      <family val="2"/>
    </font>
    <font>
      <sz val="9"/>
      <color rgb="FF0070C0"/>
      <name val="Calibri"/>
      <family val="2"/>
    </font>
    <font>
      <sz val="9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4" borderId="2" xfId="0" applyFont="1" applyFill="1" applyBorder="1"/>
    <xf numFmtId="0" fontId="3" fillId="4" borderId="2" xfId="0" applyFont="1" applyFill="1" applyBorder="1"/>
    <xf numFmtId="0" fontId="4" fillId="4" borderId="1" xfId="0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0" fontId="7" fillId="0" borderId="0" xfId="0" applyFont="1" applyFill="1" applyBorder="1"/>
    <xf numFmtId="0" fontId="3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9" fontId="3" fillId="4" borderId="3" xfId="1" applyFont="1" applyFill="1" applyBorder="1" applyAlignment="1">
      <alignment horizontal="center"/>
    </xf>
    <xf numFmtId="0" fontId="4" fillId="4" borderId="4" xfId="0" applyFont="1" applyFill="1" applyBorder="1" applyAlignment="1">
      <alignment horizontal="right"/>
    </xf>
    <xf numFmtId="0" fontId="4" fillId="4" borderId="5" xfId="0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/>
    <xf numFmtId="0" fontId="6" fillId="0" borderId="1" xfId="0" applyFont="1" applyBorder="1"/>
    <xf numFmtId="164" fontId="6" fillId="0" borderId="1" xfId="0" applyNumberFormat="1" applyFont="1" applyBorder="1"/>
    <xf numFmtId="0" fontId="3" fillId="4" borderId="1" xfId="0" applyFont="1" applyFill="1" applyBorder="1"/>
    <xf numFmtId="14" fontId="6" fillId="0" borderId="1" xfId="0" applyNumberFormat="1" applyFont="1" applyBorder="1"/>
    <xf numFmtId="0" fontId="12" fillId="4" borderId="1" xfId="0" applyFont="1" applyFill="1" applyBorder="1"/>
    <xf numFmtId="0" fontId="3" fillId="0" borderId="0" xfId="0" applyFont="1" applyAlignment="1">
      <alignment horizontal="left" vertical="center"/>
    </xf>
    <xf numFmtId="0" fontId="3" fillId="4" borderId="6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3" fillId="6" borderId="6" xfId="0" applyFont="1" applyFill="1" applyBorder="1"/>
    <xf numFmtId="0" fontId="3" fillId="5" borderId="6" xfId="0" applyFont="1" applyFill="1" applyBorder="1"/>
    <xf numFmtId="0" fontId="3" fillId="0" borderId="0" xfId="0" applyFont="1" applyFill="1" applyBorder="1" applyAlignment="1">
      <alignment horizontal="left"/>
    </xf>
    <xf numFmtId="0" fontId="15" fillId="0" borderId="0" xfId="0" applyFont="1"/>
    <xf numFmtId="9" fontId="3" fillId="0" borderId="0" xfId="1" applyFont="1"/>
    <xf numFmtId="165" fontId="3" fillId="0" borderId="0" xfId="1" applyNumberFormat="1" applyFont="1" applyAlignment="1">
      <alignment horizontal="center"/>
    </xf>
    <xf numFmtId="0" fontId="3" fillId="1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7" fillId="11" borderId="0" xfId="0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right" vertical="center"/>
    </xf>
    <xf numFmtId="0" fontId="21" fillId="11" borderId="11" xfId="0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left" vertical="center"/>
    </xf>
    <xf numFmtId="0" fontId="20" fillId="11" borderId="0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left" vertical="center"/>
    </xf>
    <xf numFmtId="0" fontId="19" fillId="11" borderId="9" xfId="0" applyFont="1" applyFill="1" applyBorder="1" applyAlignment="1">
      <alignment vertical="center"/>
    </xf>
    <xf numFmtId="165" fontId="19" fillId="11" borderId="0" xfId="1" applyNumberFormat="1" applyFont="1" applyFill="1" applyBorder="1" applyAlignment="1">
      <alignment vertical="center"/>
    </xf>
    <xf numFmtId="0" fontId="20" fillId="11" borderId="0" xfId="0" applyFont="1" applyFill="1" applyBorder="1" applyAlignment="1">
      <alignment horizontal="right" vertical="center"/>
    </xf>
    <xf numFmtId="0" fontId="3" fillId="11" borderId="9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18" fillId="11" borderId="0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vertical="center"/>
    </xf>
    <xf numFmtId="0" fontId="4" fillId="11" borderId="9" xfId="0" applyFont="1" applyFill="1" applyBorder="1" applyAlignment="1">
      <alignment horizontal="left" vertical="center"/>
    </xf>
    <xf numFmtId="165" fontId="4" fillId="11" borderId="0" xfId="0" applyNumberFormat="1" applyFont="1" applyFill="1" applyBorder="1" applyAlignment="1">
      <alignment vertical="center"/>
    </xf>
    <xf numFmtId="9" fontId="9" fillId="11" borderId="9" xfId="1" applyNumberFormat="1" applyFont="1" applyFill="1" applyBorder="1" applyAlignment="1">
      <alignment horizontal="center" vertical="center"/>
    </xf>
    <xf numFmtId="0" fontId="23" fillId="11" borderId="12" xfId="0" applyFont="1" applyFill="1" applyBorder="1" applyAlignment="1">
      <alignment vertical="center"/>
    </xf>
    <xf numFmtId="9" fontId="4" fillId="11" borderId="8" xfId="0" applyNumberFormat="1" applyFont="1" applyFill="1" applyBorder="1" applyAlignment="1">
      <alignment vertical="center"/>
    </xf>
    <xf numFmtId="165" fontId="4" fillId="11" borderId="12" xfId="0" applyNumberFormat="1" applyFont="1" applyFill="1" applyBorder="1" applyAlignment="1">
      <alignment vertical="center"/>
    </xf>
    <xf numFmtId="9" fontId="9" fillId="11" borderId="8" xfId="1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left" vertical="center"/>
    </xf>
    <xf numFmtId="0" fontId="9" fillId="9" borderId="0" xfId="0" applyFont="1" applyFill="1" applyAlignment="1">
      <alignment vertical="center"/>
    </xf>
    <xf numFmtId="0" fontId="19" fillId="9" borderId="9" xfId="0" applyFont="1" applyFill="1" applyBorder="1" applyAlignment="1">
      <alignment vertical="center"/>
    </xf>
    <xf numFmtId="165" fontId="19" fillId="9" borderId="0" xfId="1" applyNumberFormat="1" applyFont="1" applyFill="1" applyBorder="1" applyAlignment="1">
      <alignment vertical="center"/>
    </xf>
    <xf numFmtId="0" fontId="9" fillId="9" borderId="9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right" vertical="center"/>
    </xf>
    <xf numFmtId="0" fontId="17" fillId="9" borderId="9" xfId="0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0" fontId="18" fillId="9" borderId="0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165" fontId="4" fillId="9" borderId="0" xfId="0" applyNumberFormat="1" applyFont="1" applyFill="1" applyBorder="1" applyAlignment="1">
      <alignment vertical="center"/>
    </xf>
    <xf numFmtId="9" fontId="9" fillId="9" borderId="9" xfId="1" applyNumberFormat="1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165" fontId="4" fillId="9" borderId="12" xfId="0" applyNumberFormat="1" applyFont="1" applyFill="1" applyBorder="1" applyAlignment="1">
      <alignment vertical="center"/>
    </xf>
    <xf numFmtId="9" fontId="9" fillId="9" borderId="8" xfId="1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left" vertical="center"/>
    </xf>
    <xf numFmtId="0" fontId="3" fillId="11" borderId="0" xfId="0" applyFont="1" applyFill="1" applyAlignment="1">
      <alignment horizontal="left" vertical="center"/>
    </xf>
    <xf numFmtId="0" fontId="27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27" fillId="11" borderId="0" xfId="0" applyFont="1" applyFill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30" fillId="9" borderId="9" xfId="0" applyFont="1" applyFill="1" applyBorder="1" applyAlignment="1">
      <alignment horizontal="center" vertical="center"/>
    </xf>
    <xf numFmtId="0" fontId="30" fillId="11" borderId="9" xfId="0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1" fontId="13" fillId="11" borderId="9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 horizontal="left" vertical="center"/>
    </xf>
    <xf numFmtId="0" fontId="9" fillId="12" borderId="0" xfId="0" applyFont="1" applyFill="1" applyBorder="1" applyAlignment="1">
      <alignment horizontal="left" vertical="center"/>
    </xf>
    <xf numFmtId="0" fontId="14" fillId="12" borderId="0" xfId="0" applyFont="1" applyFill="1" applyAlignment="1">
      <alignment horizontal="left" vertical="center"/>
    </xf>
    <xf numFmtId="0" fontId="21" fillId="12" borderId="0" xfId="0" applyFont="1" applyFill="1" applyAlignment="1">
      <alignment horizontal="left" vertical="center"/>
    </xf>
    <xf numFmtId="0" fontId="4" fillId="10" borderId="0" xfId="0" applyFont="1" applyFill="1" applyAlignment="1">
      <alignment vertical="center"/>
    </xf>
    <xf numFmtId="0" fontId="4" fillId="10" borderId="12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9" fontId="9" fillId="10" borderId="12" xfId="0" applyNumberFormat="1" applyFont="1" applyFill="1" applyBorder="1" applyAlignment="1">
      <alignment horizontal="left" vertical="top" wrapText="1"/>
    </xf>
    <xf numFmtId="0" fontId="0" fillId="10" borderId="12" xfId="0" applyFill="1" applyBorder="1" applyAlignment="1">
      <alignment horizontal="left"/>
    </xf>
    <xf numFmtId="0" fontId="26" fillId="10" borderId="8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left" vertical="center"/>
    </xf>
    <xf numFmtId="0" fontId="3" fillId="10" borderId="0" xfId="0" applyFont="1" applyFill="1" applyAlignment="1">
      <alignment vertical="center"/>
    </xf>
    <xf numFmtId="0" fontId="3" fillId="10" borderId="12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center" vertical="center"/>
    </xf>
    <xf numFmtId="0" fontId="3" fillId="7" borderId="4" xfId="0" applyFont="1" applyFill="1" applyBorder="1"/>
    <xf numFmtId="0" fontId="31" fillId="3" borderId="2" xfId="0" applyFont="1" applyFill="1" applyBorder="1"/>
    <xf numFmtId="0" fontId="31" fillId="3" borderId="7" xfId="0" applyFont="1" applyFill="1" applyBorder="1" applyAlignment="1">
      <alignment horizontal="center"/>
    </xf>
    <xf numFmtId="165" fontId="31" fillId="3" borderId="5" xfId="0" applyNumberFormat="1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/>
    </xf>
    <xf numFmtId="0" fontId="12" fillId="0" borderId="0" xfId="0" applyFont="1"/>
    <xf numFmtId="0" fontId="12" fillId="2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32" fillId="13" borderId="6" xfId="0" applyFont="1" applyFill="1" applyBorder="1"/>
    <xf numFmtId="0" fontId="32" fillId="13" borderId="7" xfId="0" applyFont="1" applyFill="1" applyBorder="1" applyAlignment="1">
      <alignment horizontal="center" vertical="center"/>
    </xf>
    <xf numFmtId="0" fontId="16" fillId="0" borderId="0" xfId="0" applyFont="1"/>
    <xf numFmtId="165" fontId="16" fillId="0" borderId="0" xfId="1" applyNumberFormat="1" applyFont="1" applyAlignment="1">
      <alignment horizontal="center"/>
    </xf>
    <xf numFmtId="0" fontId="33" fillId="0" borderId="0" xfId="0" applyFont="1"/>
    <xf numFmtId="165" fontId="3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6" fillId="8" borderId="4" xfId="0" applyFont="1" applyFill="1" applyBorder="1" applyAlignment="1">
      <alignment horizontal="left" vertical="center"/>
    </xf>
    <xf numFmtId="0" fontId="29" fillId="8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vertical="center"/>
    </xf>
    <xf numFmtId="165" fontId="26" fillId="8" borderId="4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14" borderId="6" xfId="0" applyFont="1" applyFill="1" applyBorder="1"/>
    <xf numFmtId="166" fontId="3" fillId="14" borderId="7" xfId="0" applyNumberFormat="1" applyFont="1" applyFill="1" applyBorder="1"/>
    <xf numFmtId="0" fontId="3" fillId="14" borderId="8" xfId="0" applyFont="1" applyFill="1" applyBorder="1"/>
    <xf numFmtId="0" fontId="3" fillId="14" borderId="5" xfId="0" applyFont="1" applyFill="1" applyBorder="1"/>
    <xf numFmtId="0" fontId="3" fillId="11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9" borderId="0" xfId="0" applyFont="1" applyFill="1" applyAlignment="1">
      <alignment horizontal="left" vertical="center"/>
    </xf>
    <xf numFmtId="0" fontId="13" fillId="9" borderId="0" xfId="0" applyFont="1" applyFill="1" applyAlignment="1">
      <alignment vertical="center"/>
    </xf>
    <xf numFmtId="0" fontId="19" fillId="11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/>
    <xf numFmtId="0" fontId="4" fillId="4" borderId="12" xfId="0" applyFont="1" applyFill="1" applyBorder="1" applyAlignment="1">
      <alignment vertical="center"/>
    </xf>
    <xf numFmtId="0" fontId="0" fillId="4" borderId="12" xfId="0" applyFill="1" applyBorder="1"/>
    <xf numFmtId="0" fontId="0" fillId="4" borderId="0" xfId="0" applyFill="1" applyBorder="1"/>
    <xf numFmtId="0" fontId="38" fillId="4" borderId="0" xfId="0" applyFont="1" applyFill="1" applyBorder="1"/>
    <xf numFmtId="164" fontId="37" fillId="0" borderId="0" xfId="0" applyNumberFormat="1" applyFont="1" applyFill="1" applyBorder="1" applyAlignment="1">
      <alignment horizontal="center" vertical="center"/>
    </xf>
    <xf numFmtId="166" fontId="12" fillId="14" borderId="7" xfId="0" applyNumberFormat="1" applyFont="1" applyFill="1" applyBorder="1"/>
    <xf numFmtId="0" fontId="12" fillId="14" borderId="5" xfId="0" applyFont="1" applyFill="1" applyBorder="1"/>
    <xf numFmtId="0" fontId="11" fillId="4" borderId="4" xfId="0" applyFont="1" applyFill="1" applyBorder="1" applyAlignment="1">
      <alignment horizontal="right"/>
    </xf>
    <xf numFmtId="0" fontId="11" fillId="4" borderId="3" xfId="0" applyFont="1" applyFill="1" applyBorder="1"/>
    <xf numFmtId="0" fontId="12" fillId="0" borderId="1" xfId="0" applyFont="1" applyFill="1" applyBorder="1" applyAlignment="1">
      <alignment vertical="center"/>
    </xf>
    <xf numFmtId="0" fontId="37" fillId="10" borderId="0" xfId="0" applyFont="1" applyFill="1" applyBorder="1" applyAlignment="1">
      <alignment horizontal="right"/>
    </xf>
    <xf numFmtId="0" fontId="37" fillId="10" borderId="0" xfId="0" applyFont="1" applyFill="1" applyBorder="1"/>
    <xf numFmtId="0" fontId="0" fillId="10" borderId="0" xfId="0" applyFill="1" applyBorder="1"/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0" xfId="0" applyFont="1"/>
    <xf numFmtId="0" fontId="11" fillId="0" borderId="0" xfId="0" applyFont="1"/>
    <xf numFmtId="0" fontId="12" fillId="4" borderId="1" xfId="0" applyFont="1" applyFill="1" applyBorder="1" applyAlignment="1"/>
    <xf numFmtId="0" fontId="12" fillId="4" borderId="1" xfId="0" applyFont="1" applyFill="1" applyBorder="1" applyAlignment="1">
      <alignment horizontal="right" vertical="center"/>
    </xf>
    <xf numFmtId="0" fontId="6" fillId="10" borderId="0" xfId="0" applyFont="1" applyFill="1" applyAlignment="1">
      <alignment horizontal="left" vertical="center"/>
    </xf>
    <xf numFmtId="14" fontId="6" fillId="10" borderId="12" xfId="0" applyNumberFormat="1" applyFont="1" applyFill="1" applyBorder="1" applyAlignment="1">
      <alignment horizontal="left" vertical="center"/>
    </xf>
    <xf numFmtId="0" fontId="6" fillId="10" borderId="0" xfId="0" applyFont="1" applyFill="1" applyAlignment="1">
      <alignment vertical="center"/>
    </xf>
    <xf numFmtId="0" fontId="22" fillId="9" borderId="11" xfId="0" applyFont="1" applyFill="1" applyBorder="1" applyAlignment="1">
      <alignment horizontal="left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left" vertical="top"/>
    </xf>
    <xf numFmtId="0" fontId="44" fillId="0" borderId="0" xfId="0" applyFont="1"/>
    <xf numFmtId="0" fontId="1" fillId="4" borderId="1" xfId="0" applyFont="1" applyFill="1" applyBorder="1"/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17" fontId="0" fillId="0" borderId="0" xfId="0" applyNumberFormat="1"/>
    <xf numFmtId="16" fontId="0" fillId="0" borderId="0" xfId="0" applyNumberFormat="1"/>
    <xf numFmtId="49" fontId="0" fillId="0" borderId="0" xfId="0" applyNumberFormat="1"/>
    <xf numFmtId="0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0" fillId="0" borderId="0" xfId="0" applyNumberFormat="1"/>
    <xf numFmtId="2" fontId="0" fillId="0" borderId="0" xfId="0" applyNumberFormat="1"/>
    <xf numFmtId="0" fontId="6" fillId="15" borderId="1" xfId="0" applyFont="1" applyFill="1" applyBorder="1"/>
    <xf numFmtId="164" fontId="6" fillId="15" borderId="1" xfId="0" applyNumberFormat="1" applyFont="1" applyFill="1" applyBorder="1"/>
    <xf numFmtId="9" fontId="9" fillId="9" borderId="12" xfId="0" applyNumberFormat="1" applyFont="1" applyFill="1" applyBorder="1" applyAlignment="1">
      <alignment horizontal="left" vertical="top" wrapText="1"/>
    </xf>
    <xf numFmtId="9" fontId="9" fillId="9" borderId="0" xfId="0" applyNumberFormat="1" applyFont="1" applyFill="1" applyBorder="1" applyAlignment="1">
      <alignment horizontal="left" vertical="top" wrapText="1"/>
    </xf>
    <xf numFmtId="9" fontId="9" fillId="11" borderId="0" xfId="0" applyNumberFormat="1" applyFont="1" applyFill="1" applyBorder="1" applyAlignment="1">
      <alignment horizontal="left" vertical="top" wrapText="1"/>
    </xf>
    <xf numFmtId="0" fontId="9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top"/>
    </xf>
    <xf numFmtId="0" fontId="4" fillId="9" borderId="8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3" fillId="9" borderId="9" xfId="0" applyFont="1" applyFill="1" applyBorder="1" applyAlignment="1">
      <alignment horizontal="left" wrapText="1"/>
    </xf>
    <xf numFmtId="0" fontId="13" fillId="9" borderId="0" xfId="0" applyFont="1" applyFill="1" applyBorder="1" applyAlignment="1">
      <alignment horizontal="left" wrapText="1"/>
    </xf>
    <xf numFmtId="0" fontId="2" fillId="9" borderId="0" xfId="0" applyFont="1" applyFill="1" applyAlignment="1">
      <alignment horizontal="left"/>
    </xf>
    <xf numFmtId="0" fontId="13" fillId="11" borderId="9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34" fillId="8" borderId="8" xfId="0" applyFont="1" applyFill="1" applyBorder="1" applyAlignment="1">
      <alignment horizontal="left" vertical="center" wrapText="1"/>
    </xf>
    <xf numFmtId="0" fontId="34" fillId="8" borderId="12" xfId="0" applyFont="1" applyFill="1" applyBorder="1" applyAlignment="1">
      <alignment horizontal="left" vertical="center" wrapText="1"/>
    </xf>
    <xf numFmtId="9" fontId="9" fillId="11" borderId="12" xfId="0" applyNumberFormat="1" applyFont="1" applyFill="1" applyBorder="1" applyAlignment="1">
      <alignment horizontal="left" vertical="top" wrapText="1"/>
    </xf>
    <xf numFmtId="0" fontId="4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14" fontId="6" fillId="10" borderId="12" xfId="0" applyNumberFormat="1" applyFont="1" applyFill="1" applyBorder="1" applyAlignment="1">
      <alignment horizontal="left" vertical="center"/>
    </xf>
    <xf numFmtId="0" fontId="39" fillId="10" borderId="12" xfId="0" applyFont="1" applyFill="1" applyBorder="1" applyAlignment="1">
      <alignment horizontal="left" vertical="center"/>
    </xf>
    <xf numFmtId="0" fontId="6" fillId="10" borderId="0" xfId="0" applyFont="1" applyFill="1" applyAlignment="1">
      <alignment horizontal="left" vertical="center"/>
    </xf>
    <xf numFmtId="0" fontId="39" fillId="10" borderId="0" xfId="0" applyFont="1" applyFill="1" applyAlignment="1">
      <alignment horizontal="left" vertical="center"/>
    </xf>
    <xf numFmtId="0" fontId="41" fillId="10" borderId="0" xfId="0" applyFont="1" applyFill="1" applyAlignment="1">
      <alignment vertical="center"/>
    </xf>
    <xf numFmtId="0" fontId="39" fillId="10" borderId="0" xfId="0" applyFont="1" applyFill="1" applyAlignment="1">
      <alignment vertical="center"/>
    </xf>
    <xf numFmtId="0" fontId="3" fillId="11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left" vertical="center"/>
    </xf>
    <xf numFmtId="0" fontId="9" fillId="10" borderId="0" xfId="0" applyFont="1" applyFill="1" applyAlignment="1">
      <alignment vertical="center"/>
    </xf>
    <xf numFmtId="0" fontId="19" fillId="11" borderId="0" xfId="0" applyFont="1" applyFill="1" applyBorder="1" applyAlignment="1">
      <alignment vertical="center"/>
    </xf>
    <xf numFmtId="0" fontId="8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40" fillId="10" borderId="0" xfId="0" applyFont="1" applyFill="1" applyAlignment="1">
      <alignment vertical="center"/>
    </xf>
    <xf numFmtId="0" fontId="13" fillId="11" borderId="0" xfId="0" applyFont="1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31" fillId="3" borderId="6" xfId="0" applyFont="1" applyFill="1" applyBorder="1" applyAlignment="1">
      <alignment horizontal="left" vertical="top" wrapText="1"/>
    </xf>
    <xf numFmtId="0" fontId="31" fillId="3" borderId="8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/>
    <xf numFmtId="0" fontId="35" fillId="4" borderId="0" xfId="0" applyFont="1" applyFill="1" applyAlignment="1">
      <alignment horizontal="center" vertical="center"/>
    </xf>
  </cellXfs>
  <cellStyles count="7">
    <cellStyle name="Prozent" xfId="1" builtinId="5"/>
    <cellStyle name="Prozent 2" xfId="5"/>
    <cellStyle name="Standard" xfId="0" builtinId="0"/>
    <cellStyle name="Standard 2" xfId="2"/>
    <cellStyle name="Standard 2 2" xfId="6"/>
    <cellStyle name="Standard 3" xfId="4"/>
    <cellStyle name="Standard 4" xfId="3"/>
  </cellStyles>
  <dxfs count="1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B05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B3F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1143000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in dieser Matrix vorkommen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5</xdr:col>
          <xdr:colOff>219075</xdr:colOff>
          <xdr:row>12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 Keime, die auf diesem Agar wachsen können.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3</xdr:col>
          <xdr:colOff>600075</xdr:colOff>
          <xdr:row>13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Vergleichsisolate/-materialien, die ähnliche Spektren liefern können (siehe Blatt "Ähnliche zu Parameter").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9525</xdr:rowOff>
        </xdr:from>
        <xdr:to>
          <xdr:col>2</xdr:col>
          <xdr:colOff>561975</xdr:colOff>
          <xdr:row>43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9525</xdr:rowOff>
        </xdr:from>
        <xdr:to>
          <xdr:col>3</xdr:col>
          <xdr:colOff>561975</xdr:colOff>
          <xdr:row>43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J45"/>
  <sheetViews>
    <sheetView tabSelected="1" showWhiteSpace="0" topLeftCell="A2" zoomScaleNormal="100" zoomScaleSheetLayoutView="110" workbookViewId="0">
      <selection activeCell="D34" sqref="D34"/>
    </sheetView>
  </sheetViews>
  <sheetFormatPr baseColWidth="10" defaultColWidth="10.875" defaultRowHeight="15" x14ac:dyDescent="0.2"/>
  <cols>
    <col min="1" max="1" width="20.875" style="19" customWidth="1"/>
    <col min="2" max="2" width="17.75" style="19" customWidth="1"/>
    <col min="3" max="3" width="19.5" style="19" customWidth="1"/>
    <col min="4" max="4" width="8.25" style="19" customWidth="1"/>
    <col min="5" max="5" width="5" style="17" customWidth="1"/>
    <col min="6" max="6" width="17.25" style="17" customWidth="1"/>
    <col min="7" max="16384" width="10.875" style="17"/>
  </cols>
  <sheetData>
    <row r="1" spans="1:10" x14ac:dyDescent="0.2">
      <c r="A1" s="225" t="s">
        <v>53</v>
      </c>
      <c r="B1" s="225"/>
      <c r="C1" s="225"/>
      <c r="D1" s="225"/>
      <c r="E1" s="226"/>
      <c r="F1" s="226"/>
    </row>
    <row r="2" spans="1:10" x14ac:dyDescent="0.2">
      <c r="A2" s="236" t="s">
        <v>88</v>
      </c>
      <c r="B2" s="236"/>
      <c r="C2" s="236"/>
      <c r="D2" s="236"/>
      <c r="E2" s="149"/>
      <c r="F2" s="149"/>
    </row>
    <row r="3" spans="1:10" ht="18.75" x14ac:dyDescent="0.2">
      <c r="A3" s="237" t="str">
        <f>"Parameter: "&amp;'Parameter (Spezies)'!B1&amp;" "&amp;'Parameter (Spezies)'!C1</f>
        <v>Parameter: Lutjanus argentimaculatus</v>
      </c>
      <c r="B3" s="237"/>
      <c r="C3" s="237"/>
      <c r="D3" s="237"/>
      <c r="E3" s="238"/>
      <c r="F3" s="238"/>
    </row>
    <row r="4" spans="1:10" x14ac:dyDescent="0.2">
      <c r="A4" s="108" t="s">
        <v>18</v>
      </c>
      <c r="B4" s="181">
        <v>2</v>
      </c>
      <c r="C4" s="116"/>
      <c r="D4" s="183"/>
      <c r="E4" s="181"/>
      <c r="F4" s="45"/>
    </row>
    <row r="5" spans="1:10" x14ac:dyDescent="0.2">
      <c r="A5" s="108" t="s">
        <v>19</v>
      </c>
      <c r="B5" s="181" t="s">
        <v>105</v>
      </c>
      <c r="C5" s="108" t="s">
        <v>24</v>
      </c>
      <c r="D5" s="229" t="s">
        <v>106</v>
      </c>
      <c r="E5" s="230"/>
      <c r="F5" s="45"/>
    </row>
    <row r="6" spans="1:10" x14ac:dyDescent="0.2">
      <c r="A6" s="109" t="s">
        <v>22</v>
      </c>
      <c r="B6" s="182">
        <v>45124</v>
      </c>
      <c r="C6" s="109" t="s">
        <v>25</v>
      </c>
      <c r="D6" s="227">
        <v>45125</v>
      </c>
      <c r="E6" s="228"/>
      <c r="F6" s="117"/>
    </row>
    <row r="7" spans="1:10" s="33" customFormat="1" x14ac:dyDescent="0.2">
      <c r="A7" s="110" t="s">
        <v>59</v>
      </c>
      <c r="B7" s="239" t="s">
        <v>107</v>
      </c>
      <c r="C7" s="232"/>
      <c r="D7" s="232"/>
      <c r="E7" s="232"/>
      <c r="F7" s="232"/>
    </row>
    <row r="8" spans="1:10" ht="15" customHeight="1" x14ac:dyDescent="0.2">
      <c r="A8" s="110" t="s">
        <v>58</v>
      </c>
      <c r="B8" s="239" t="s">
        <v>108</v>
      </c>
      <c r="C8" s="232"/>
      <c r="D8" s="232"/>
      <c r="E8" s="232"/>
      <c r="F8" s="232"/>
    </row>
    <row r="9" spans="1:10" x14ac:dyDescent="0.2">
      <c r="A9" s="110" t="s">
        <v>44</v>
      </c>
      <c r="B9" s="183"/>
      <c r="C9" s="183" t="s">
        <v>109</v>
      </c>
      <c r="D9" s="183" t="s">
        <v>45</v>
      </c>
      <c r="E9" s="181"/>
      <c r="F9" s="181"/>
    </row>
    <row r="10" spans="1:10" x14ac:dyDescent="0.2">
      <c r="A10" s="108" t="s">
        <v>20</v>
      </c>
      <c r="B10" s="235"/>
      <c r="C10" s="235"/>
      <c r="D10" s="111"/>
      <c r="E10" s="45"/>
      <c r="F10" s="45"/>
    </row>
    <row r="11" spans="1:10" x14ac:dyDescent="0.2">
      <c r="A11" s="234" t="str">
        <f>"Validierungsisolate/-materialien (Parameter): "&amp;'Parameter (Spezies)'!B3</f>
        <v>Validierungsisolate/-materialien (Parameter): 44</v>
      </c>
      <c r="B11" s="234"/>
      <c r="C11" s="240" t="str">
        <f>"Vergleichsisolate/-materialien (#Parameter): "&amp;'#Parameter (Spezies)'!B3</f>
        <v>Vergleichsisolate/-materialien (#Parameter): 67</v>
      </c>
      <c r="D11" s="240"/>
      <c r="E11" s="241"/>
      <c r="F11" s="241"/>
    </row>
    <row r="12" spans="1:10" s="24" customFormat="1" x14ac:dyDescent="0.2">
      <c r="A12" s="233"/>
      <c r="B12" s="233"/>
      <c r="C12" s="233"/>
      <c r="D12" s="233"/>
      <c r="E12" s="89"/>
      <c r="F12" s="89"/>
    </row>
    <row r="13" spans="1:10" s="24" customFormat="1" x14ac:dyDescent="0.2">
      <c r="A13" s="233"/>
      <c r="B13" s="233"/>
      <c r="C13" s="233"/>
      <c r="D13" s="233"/>
      <c r="E13" s="89"/>
      <c r="F13" s="89"/>
      <c r="J13" s="33"/>
    </row>
    <row r="14" spans="1:10" x14ac:dyDescent="0.2">
      <c r="A14" s="231" t="s">
        <v>110</v>
      </c>
      <c r="B14" s="231"/>
      <c r="C14" s="231"/>
      <c r="D14" s="231"/>
      <c r="E14" s="232"/>
      <c r="F14" s="232"/>
    </row>
    <row r="15" spans="1:10" x14ac:dyDescent="0.2">
      <c r="A15" s="231" t="s">
        <v>111</v>
      </c>
      <c r="B15" s="231"/>
      <c r="C15" s="231"/>
      <c r="D15" s="231"/>
      <c r="E15" s="232"/>
      <c r="F15" s="232"/>
    </row>
    <row r="16" spans="1:10" s="33" customFormat="1" x14ac:dyDescent="0.2">
      <c r="A16" s="151" t="s">
        <v>86</v>
      </c>
      <c r="B16" s="152"/>
      <c r="C16" s="152"/>
      <c r="D16" s="152"/>
      <c r="E16" s="152"/>
      <c r="F16" s="152"/>
    </row>
    <row r="17" spans="1:7" s="33" customFormat="1" ht="55.5" customHeight="1" x14ac:dyDescent="0.2">
      <c r="A17" s="201" t="str">
        <f>"Richtig-positiv: 1. Hit =Ziel-Parameter mit Score ≥ "&amp;'Parameter (Spezies)'!$B$12&amp;" und Score 2. Hit &lt; "&amp;'Parameter (Spezies)'!$B$13&amp;" oder
Score 2. Hit ≥ "&amp;'Parameter (Spezies)'!$B$13&amp;" &amp; Gattung gleich 1. Hit oder
Score 2. Hit ≥  "&amp;'Parameter (Spezies)'!$B$12&amp;"  &amp; Art gleich 1. Hit"</f>
        <v>Richtig-positiv: 1. Hit =Ziel-Parameter mit Score ≥ 2 und Score 2. Hit &lt; 1,7 oder
Score 2. Hit ≥ 1,7 &amp; Gattung gleich 1. Hit oder
Score 2. Hit ≥  2  &amp; Art gleich 1. Hit</v>
      </c>
      <c r="B17" s="201"/>
      <c r="C17" s="202" t="str">
        <f>"Richtig-negativ: 1. Hit ohne Zuordnung zum Ziel-Parameter mit score ≥ "&amp;'Parameter (Spezies)'!B12&amp;"
"</f>
        <v xml:space="preserve">Richtig-negativ: 1. Hit ohne Zuordnung zum Ziel-Parameter mit score ≥ 2
</v>
      </c>
      <c r="D17" s="202"/>
      <c r="E17" s="202"/>
      <c r="F17" s="202"/>
      <c r="G17" s="150"/>
    </row>
    <row r="18" spans="1:7" s="33" customFormat="1" ht="32.25" customHeight="1" x14ac:dyDescent="0.2">
      <c r="A18" s="200" t="s">
        <v>87</v>
      </c>
      <c r="B18" s="200"/>
      <c r="C18" s="224" t="str">
        <f>"Falsch-positiv: Kriterien für richtig-negativ werden nicht erfüllt"</f>
        <v>Falsch-positiv: Kriterien für richtig-negativ werden nicht erfüllt</v>
      </c>
      <c r="D18" s="224"/>
      <c r="E18" s="224"/>
      <c r="F18" s="224"/>
    </row>
    <row r="19" spans="1:7" s="33" customFormat="1" x14ac:dyDescent="0.2">
      <c r="A19" s="112"/>
      <c r="B19" s="112"/>
      <c r="C19" s="112"/>
      <c r="D19" s="112"/>
      <c r="E19" s="113"/>
      <c r="F19" s="113"/>
    </row>
    <row r="20" spans="1:7" s="33" customFormat="1" x14ac:dyDescent="0.2">
      <c r="A20" s="88" t="s">
        <v>21</v>
      </c>
      <c r="B20" s="96" t="s">
        <v>57</v>
      </c>
      <c r="C20" s="184" t="str">
        <f>'Parameter (Spezies)'!B1&amp;" "&amp;'Parameter (Spezies)'!C1</f>
        <v>Lutjanus argentimaculatus</v>
      </c>
      <c r="D20" s="97"/>
      <c r="E20" s="114" t="s">
        <v>66</v>
      </c>
      <c r="F20" s="115" t="s">
        <v>56</v>
      </c>
    </row>
    <row r="21" spans="1:7" s="33" customFormat="1" x14ac:dyDescent="0.2">
      <c r="A21" s="69" t="s">
        <v>60</v>
      </c>
      <c r="B21" s="70">
        <f>'Parameter (Spezies)'!B3</f>
        <v>44</v>
      </c>
      <c r="C21" s="78"/>
      <c r="D21" s="78"/>
      <c r="E21" s="71"/>
      <c r="F21" s="72"/>
    </row>
    <row r="22" spans="1:7" s="33" customFormat="1" x14ac:dyDescent="0.2">
      <c r="A22" s="69" t="s">
        <v>61</v>
      </c>
      <c r="B22" s="118">
        <f>B25+B26</f>
        <v>44</v>
      </c>
      <c r="C22" s="73" t="s">
        <v>52</v>
      </c>
      <c r="D22" s="74">
        <f>B22/B21</f>
        <v>1</v>
      </c>
      <c r="E22" s="75">
        <v>20</v>
      </c>
      <c r="F22" s="90" t="str">
        <f>IF(E22&lt;=(SUM(B22)),"ja","nein")</f>
        <v>ja</v>
      </c>
      <c r="G22" s="26">
        <f>IF((F22="ja"),1,0)</f>
        <v>1</v>
      </c>
    </row>
    <row r="23" spans="1:7" s="33" customFormat="1" x14ac:dyDescent="0.2">
      <c r="A23" s="76" t="s">
        <v>62</v>
      </c>
      <c r="B23" s="70">
        <f>SUM('Parameter (Spezies)'!E:E)</f>
        <v>42</v>
      </c>
      <c r="C23" s="77"/>
      <c r="D23" s="78"/>
      <c r="E23" s="75">
        <f>0.2*B22</f>
        <v>8.8000000000000007</v>
      </c>
      <c r="F23" s="90" t="str">
        <f>IF(E23&lt;=(SUM(B23)),"ja","nein")</f>
        <v>ja</v>
      </c>
      <c r="G23" s="33">
        <f t="shared" ref="G23:G33" si="0">IF((F23="ja"),1,0)</f>
        <v>1</v>
      </c>
    </row>
    <row r="24" spans="1:7" s="33" customFormat="1" x14ac:dyDescent="0.2">
      <c r="A24" s="79" t="s">
        <v>75</v>
      </c>
      <c r="B24" s="70"/>
      <c r="C24" s="207" t="s">
        <v>46</v>
      </c>
      <c r="D24" s="208"/>
      <c r="E24" s="71"/>
      <c r="F24" s="91"/>
    </row>
    <row r="25" spans="1:7" s="33" customFormat="1" x14ac:dyDescent="0.2">
      <c r="A25" s="80" t="s">
        <v>67</v>
      </c>
      <c r="B25" s="100">
        <f>'Parameter (Spezies)'!B7</f>
        <v>44</v>
      </c>
      <c r="C25" s="81" t="s">
        <v>48</v>
      </c>
      <c r="D25" s="82">
        <f>B25/B22</f>
        <v>1</v>
      </c>
      <c r="E25" s="83">
        <v>0.95</v>
      </c>
      <c r="F25" s="91" t="str">
        <f>IF(E25&lt;=D25,"ja","nein")</f>
        <v>ja</v>
      </c>
      <c r="G25" s="33">
        <f t="shared" si="0"/>
        <v>1</v>
      </c>
    </row>
    <row r="26" spans="1:7" s="33" customFormat="1" x14ac:dyDescent="0.2">
      <c r="A26" s="84" t="s">
        <v>69</v>
      </c>
      <c r="B26" s="99">
        <f>'Parameter (Spezies)'!B26</f>
        <v>0</v>
      </c>
      <c r="C26" s="85" t="s">
        <v>50</v>
      </c>
      <c r="D26" s="86">
        <f>B26/B22</f>
        <v>0</v>
      </c>
      <c r="E26" s="87">
        <v>0.01</v>
      </c>
      <c r="F26" s="102" t="str">
        <f>IF(E26&gt;=D26,"ja","nein")</f>
        <v>ja</v>
      </c>
      <c r="G26" s="33">
        <f t="shared" si="0"/>
        <v>1</v>
      </c>
    </row>
    <row r="27" spans="1:7" s="33" customFormat="1" x14ac:dyDescent="0.2">
      <c r="A27" s="47"/>
      <c r="B27" s="48" t="s">
        <v>63</v>
      </c>
      <c r="C27" s="49"/>
      <c r="D27" s="50"/>
      <c r="E27" s="51"/>
      <c r="F27" s="92"/>
    </row>
    <row r="28" spans="1:7" x14ac:dyDescent="0.2">
      <c r="A28" s="52" t="s">
        <v>60</v>
      </c>
      <c r="B28" s="53">
        <f>'#Parameter (Spezies) DB'!B3</f>
        <v>64</v>
      </c>
      <c r="C28" s="47"/>
      <c r="D28" s="47"/>
      <c r="E28" s="54"/>
      <c r="F28" s="93"/>
      <c r="G28" s="33"/>
    </row>
    <row r="29" spans="1:7" s="33" customFormat="1" x14ac:dyDescent="0.2">
      <c r="A29" s="52" t="s">
        <v>61</v>
      </c>
      <c r="B29" s="48">
        <f>SUM(B32:B33)</f>
        <v>64</v>
      </c>
      <c r="C29" s="55" t="s">
        <v>52</v>
      </c>
      <c r="D29" s="56">
        <f>B29/B28</f>
        <v>1</v>
      </c>
      <c r="E29" s="53">
        <v>30</v>
      </c>
      <c r="F29" s="94" t="str">
        <f>IF(E29&lt;=(SUM(B29)),"ja","nein")</f>
        <v>ja</v>
      </c>
      <c r="G29" s="33">
        <f t="shared" si="0"/>
        <v>1</v>
      </c>
    </row>
    <row r="30" spans="1:7" s="33" customFormat="1" x14ac:dyDescent="0.2">
      <c r="A30" s="57" t="s">
        <v>62</v>
      </c>
      <c r="B30" s="53">
        <f>SUM('#Parameter (Spezies) DB'!E:E)</f>
        <v>64</v>
      </c>
      <c r="C30" s="58"/>
      <c r="D30" s="59"/>
      <c r="E30" s="103">
        <f>0.2*B29</f>
        <v>12.8</v>
      </c>
      <c r="F30" s="94" t="str">
        <f>IF(E30&lt;=(SUM(B30)),"ja","nein")</f>
        <v>ja</v>
      </c>
      <c r="G30" s="33">
        <f t="shared" si="0"/>
        <v>1</v>
      </c>
    </row>
    <row r="31" spans="1:7" ht="14.45" customHeight="1" x14ac:dyDescent="0.2">
      <c r="A31" s="60" t="s">
        <v>75</v>
      </c>
      <c r="B31" s="53"/>
      <c r="C31" s="209" t="s">
        <v>47</v>
      </c>
      <c r="D31" s="210"/>
      <c r="E31" s="54"/>
      <c r="F31" s="93"/>
      <c r="G31" s="33"/>
    </row>
    <row r="32" spans="1:7" ht="14.45" customHeight="1" x14ac:dyDescent="0.2">
      <c r="A32" s="61" t="s">
        <v>70</v>
      </c>
      <c r="B32" s="101">
        <f>'#Parameter (Spezies) DB'!B6</f>
        <v>64</v>
      </c>
      <c r="C32" s="62" t="s">
        <v>51</v>
      </c>
      <c r="D32" s="63">
        <f>B32/B29</f>
        <v>1</v>
      </c>
      <c r="E32" s="64">
        <v>0.99</v>
      </c>
      <c r="F32" s="93" t="str">
        <f>IF(E32&lt;=D32,"ja","nein")</f>
        <v>ja</v>
      </c>
      <c r="G32" s="33">
        <f t="shared" si="0"/>
        <v>1</v>
      </c>
    </row>
    <row r="33" spans="1:8" ht="14.45" customHeight="1" x14ac:dyDescent="0.2">
      <c r="A33" s="65" t="s">
        <v>68</v>
      </c>
      <c r="B33" s="98">
        <f>'#Parameter (Spezies) DB'!B7</f>
        <v>0</v>
      </c>
      <c r="C33" s="66" t="s">
        <v>49</v>
      </c>
      <c r="D33" s="67">
        <f>B33/B29</f>
        <v>0</v>
      </c>
      <c r="E33" s="68">
        <v>0.01</v>
      </c>
      <c r="F33" s="95" t="str">
        <f>IF(E33&gt;=D33,"ja","nein")</f>
        <v>ja</v>
      </c>
      <c r="G33" s="33">
        <f t="shared" si="0"/>
        <v>1</v>
      </c>
    </row>
    <row r="34" spans="1:8" s="33" customFormat="1" ht="14.45" customHeight="1" x14ac:dyDescent="0.2">
      <c r="A34" s="139" t="s">
        <v>64</v>
      </c>
      <c r="B34" s="140">
        <f>'#Parameter (Spezies)'!B3</f>
        <v>67</v>
      </c>
      <c r="C34" s="141" t="s">
        <v>65</v>
      </c>
      <c r="D34" s="142">
        <f>'#Parameter (Spezies)'!B9</f>
        <v>0</v>
      </c>
      <c r="E34" s="143"/>
      <c r="F34" s="144"/>
    </row>
    <row r="35" spans="1:8" s="138" customFormat="1" ht="46.5" customHeight="1" x14ac:dyDescent="0.25">
      <c r="A35" s="217" t="str">
        <f>"Von "&amp;('Parameter (Spezies)'!B3-'Parameter (Spezies)'!B5&amp;" identifizierten Proben des Parameters wurden unter Verwendung der vollständigen Datenbank "&amp;B25&amp;" (="&amp;ROUND(((D25)*100),1)&amp;"%) richtig erkannt (Inklusivität). "&amp;'Parameter (Spezies)'!B8)&amp;" (="&amp;ROUND(((D26)*100),1)&amp;"%) der identifizierten Proben des Parameters wurden falsch einer anderen Spezies zugeordnet."</f>
        <v>Von 44 identifizierten Proben des Parameters wurden unter Verwendung der vollständigen Datenbank 44 (=100%) richtig erkannt (Inklusivität). 0 (=0%) der identifizierten Proben des Parameters wurden falsch einer anderen Spezies zugeordnet.</v>
      </c>
      <c r="B35" s="218"/>
      <c r="C35" s="218"/>
      <c r="D35" s="218"/>
      <c r="E35" s="219"/>
      <c r="F35" s="219"/>
    </row>
    <row r="36" spans="1:8" s="33" customFormat="1" ht="44.25" customHeight="1" x14ac:dyDescent="0.2">
      <c r="A36" s="220" t="str">
        <f>"In den "&amp;B29&amp;" identifizierten Proben der Nicht-Ziel-Parameter wurden unter Verwendung der vollständigen Datenbank "&amp;(ROUND(D32*100,1)&amp;"% richtig-negativ (Exklusivität) gezählt. Von diesen "&amp;B29&amp;" Proben wurden "&amp;B33&amp;" (="&amp;ROUND(D33*100,1)&amp;"%) fehlerhaft als Parameter identifiziert.")</f>
        <v>In den 64 identifizierten Proben der Nicht-Ziel-Parameter wurden unter Verwendung der vollständigen Datenbank 100% richtig-negativ (Exklusivität) gezählt. Von diesen 64 Proben wurden 0 (=0%) fehlerhaft als Parameter identifiziert.</v>
      </c>
      <c r="B36" s="221"/>
      <c r="C36" s="221"/>
      <c r="D36" s="221"/>
      <c r="E36" s="221"/>
      <c r="F36" s="221"/>
    </row>
    <row r="37" spans="1:8" s="33" customFormat="1" ht="30.75" customHeight="1" x14ac:dyDescent="0.2">
      <c r="A37" s="222" t="str">
        <f>"In den "&amp;B34&amp;" Proben der Nicht-Ziel-Parameter wurden unter Verwendung einer nur den Parameter enthaltenden Datenbank bei "&amp;'#Parameter (Spezies)'!B7&amp;""&amp;B18&amp;" (="&amp;ROUND(D34*100,1)&amp;"%) Einträgen ein score &gt; "&amp;'Parameter (Spezies)'!$B$12&amp;" erreicht."</f>
        <v>In den 67 Proben der Nicht-Ziel-Parameter wurden unter Verwendung einer nur den Parameter enthaltenden Datenbank bei 0 (=0%) Einträgen ein score &gt; 2 erreicht.</v>
      </c>
      <c r="B37" s="223"/>
      <c r="C37" s="223"/>
      <c r="D37" s="223"/>
      <c r="E37" s="223"/>
      <c r="F37" s="223"/>
    </row>
    <row r="38" spans="1:8" s="26" customFormat="1" x14ac:dyDescent="0.2">
      <c r="A38" s="105" t="s">
        <v>74</v>
      </c>
      <c r="B38" s="106" t="s">
        <v>53</v>
      </c>
      <c r="C38" s="104" t="s">
        <v>73</v>
      </c>
      <c r="D38" s="107" t="str">
        <f>IF(SUM(G22:G34)=8,"erfüllt","nicht erfüllt")</f>
        <v>erfüllt</v>
      </c>
      <c r="E38" s="104"/>
      <c r="F38" s="104"/>
      <c r="H38" s="17"/>
    </row>
    <row r="39" spans="1:8" s="33" customFormat="1" x14ac:dyDescent="0.2">
      <c r="A39" s="206" t="s">
        <v>31</v>
      </c>
      <c r="B39" s="206"/>
      <c r="C39" s="206"/>
      <c r="D39" s="206"/>
      <c r="E39" s="45"/>
      <c r="F39" s="45"/>
    </row>
    <row r="40" spans="1:8" ht="36" customHeight="1" x14ac:dyDescent="0.2">
      <c r="A40" s="45"/>
      <c r="B40" s="45"/>
      <c r="C40" s="45"/>
      <c r="D40" s="45"/>
      <c r="E40" s="45"/>
      <c r="F40" s="45"/>
    </row>
    <row r="41" spans="1:8" s="25" customFormat="1" x14ac:dyDescent="0.2">
      <c r="A41" s="20" t="s">
        <v>29</v>
      </c>
      <c r="B41" s="20" t="s">
        <v>28</v>
      </c>
      <c r="C41" s="20" t="s">
        <v>26</v>
      </c>
      <c r="D41" s="211" t="s">
        <v>27</v>
      </c>
      <c r="E41" s="212"/>
      <c r="F41" s="213"/>
    </row>
    <row r="42" spans="1:8" s="25" customFormat="1" x14ac:dyDescent="0.2">
      <c r="A42" s="166" t="str">
        <f>Settings!C4</f>
        <v>LHL GI</v>
      </c>
      <c r="B42" s="22" t="s">
        <v>112</v>
      </c>
      <c r="C42" s="23">
        <v>45156</v>
      </c>
      <c r="D42" s="214" t="s">
        <v>106</v>
      </c>
      <c r="E42" s="215"/>
      <c r="F42" s="216"/>
    </row>
    <row r="43" spans="1:8" x14ac:dyDescent="0.2">
      <c r="A43" s="205" t="s">
        <v>30</v>
      </c>
      <c r="B43" s="205"/>
      <c r="C43" s="21"/>
      <c r="D43" s="21"/>
      <c r="E43" s="18"/>
      <c r="F43" s="18"/>
    </row>
    <row r="44" spans="1:8" x14ac:dyDescent="0.2">
      <c r="A44" s="203" t="s">
        <v>23</v>
      </c>
      <c r="B44" s="203"/>
      <c r="C44" s="203"/>
      <c r="D44" s="203"/>
      <c r="E44" s="204"/>
      <c r="F44" s="204"/>
    </row>
    <row r="45" spans="1:8" x14ac:dyDescent="0.2">
      <c r="E45" s="18"/>
      <c r="F45" s="18"/>
    </row>
  </sheetData>
  <mergeCells count="29">
    <mergeCell ref="A1:F1"/>
    <mergeCell ref="D6:E6"/>
    <mergeCell ref="D5:E5"/>
    <mergeCell ref="A15:F15"/>
    <mergeCell ref="C12:D12"/>
    <mergeCell ref="A13:D13"/>
    <mergeCell ref="A12:B12"/>
    <mergeCell ref="A11:B11"/>
    <mergeCell ref="B10:C10"/>
    <mergeCell ref="A2:D2"/>
    <mergeCell ref="A3:F3"/>
    <mergeCell ref="B7:F7"/>
    <mergeCell ref="B8:F8"/>
    <mergeCell ref="C11:F11"/>
    <mergeCell ref="A14:F14"/>
    <mergeCell ref="A18:B18"/>
    <mergeCell ref="A17:B17"/>
    <mergeCell ref="C17:F17"/>
    <mergeCell ref="A44:F44"/>
    <mergeCell ref="A43:B43"/>
    <mergeCell ref="A39:D39"/>
    <mergeCell ref="C24:D24"/>
    <mergeCell ref="C31:D31"/>
    <mergeCell ref="D41:F41"/>
    <mergeCell ref="D42:F42"/>
    <mergeCell ref="A35:F35"/>
    <mergeCell ref="A36:F36"/>
    <mergeCell ref="A37:F37"/>
    <mergeCell ref="C18:F18"/>
  </mergeCells>
  <conditionalFormatting sqref="D38">
    <cfRule type="cellIs" dxfId="168" priority="1" operator="equal">
      <formula>"erfüllt"</formula>
    </cfRule>
  </conditionalFormatting>
  <pageMargins left="0.7" right="0.7" top="0.78740157499999996" bottom="0.78740157499999996" header="0.3" footer="0.3"/>
  <pageSetup paperSize="9" scale="91" orientation="portrait" r:id="rId1"/>
  <headerFooter>
    <oddHeader>&amp;CSpezies-Validierung von Parametern für das MALDI Biotyper-System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1143000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5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3</xdr:col>
                    <xdr:colOff>600075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9525</xdr:rowOff>
                  </from>
                  <to>
                    <xdr:col>2</xdr:col>
                    <xdr:colOff>561975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9525</xdr:rowOff>
                  </from>
                  <to>
                    <xdr:col>3</xdr:col>
                    <xdr:colOff>561975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45"/>
  <sheetViews>
    <sheetView zoomScale="80" zoomScaleNormal="80" workbookViewId="0">
      <pane ySplit="1" topLeftCell="A2" activePane="bottomLeft" state="frozen"/>
      <selection pane="bottomLeft" activeCell="C6" sqref="C6"/>
    </sheetView>
  </sheetViews>
  <sheetFormatPr baseColWidth="10" defaultColWidth="11.25" defaultRowHeight="15" customHeight="1" x14ac:dyDescent="0.25"/>
  <cols>
    <col min="1" max="1" width="23.875" style="1" customWidth="1"/>
    <col min="2" max="3" width="20.75" style="1" customWidth="1"/>
    <col min="4" max="5" width="10.75" style="170" customWidth="1"/>
    <col min="6" max="6" width="31.625" style="2" customWidth="1"/>
    <col min="7" max="7" width="14.25" style="2" customWidth="1"/>
    <col min="8" max="8" width="17" style="2" customWidth="1"/>
    <col min="9" max="9" width="12.5" style="2" customWidth="1"/>
    <col min="10" max="10" width="12.25" style="28" customWidth="1"/>
    <col min="11" max="11" width="9.375" style="28" customWidth="1"/>
    <col min="12" max="12" width="7.625" style="29" bestFit="1" customWidth="1"/>
    <col min="13" max="13" width="11" style="28" customWidth="1"/>
    <col min="14" max="14" width="10.875" style="28" customWidth="1"/>
    <col min="15" max="15" width="7.625" style="29" bestFit="1" customWidth="1"/>
    <col min="16" max="16" width="11.75" style="172" bestFit="1" customWidth="1"/>
    <col min="17" max="17" width="11.75" style="175" customWidth="1"/>
    <col min="18" max="18" width="13.875" style="175" customWidth="1"/>
    <col min="19" max="19" width="14.125" style="175" bestFit="1" customWidth="1"/>
    <col min="20" max="20" width="14.25" style="175" bestFit="1" customWidth="1"/>
    <col min="21" max="21" width="15.875" style="175" customWidth="1"/>
    <col min="23" max="16384" width="11.25" style="1"/>
  </cols>
  <sheetData>
    <row r="1" spans="1:21" s="3" customFormat="1" ht="15" customHeight="1" x14ac:dyDescent="0.25">
      <c r="A1" s="4" t="s">
        <v>0</v>
      </c>
      <c r="B1" s="164" t="str">
        <f>Settings!D7</f>
        <v>Lutjanus</v>
      </c>
      <c r="C1" s="165" t="str">
        <f>Settings!E7</f>
        <v>argentimaculatus</v>
      </c>
      <c r="D1" s="46" t="s">
        <v>71</v>
      </c>
      <c r="E1" s="46" t="s">
        <v>72</v>
      </c>
      <c r="F1" s="6" t="s">
        <v>1</v>
      </c>
      <c r="G1" s="6" t="s">
        <v>2</v>
      </c>
      <c r="H1" s="6" t="s">
        <v>14</v>
      </c>
      <c r="I1" s="6" t="s">
        <v>13</v>
      </c>
      <c r="J1" s="6" t="s">
        <v>15</v>
      </c>
      <c r="K1" s="6" t="s">
        <v>16</v>
      </c>
      <c r="L1" s="6" t="s">
        <v>3</v>
      </c>
      <c r="M1" s="6" t="s">
        <v>15</v>
      </c>
      <c r="N1" s="6" t="s">
        <v>16</v>
      </c>
      <c r="O1" s="6" t="s">
        <v>3</v>
      </c>
      <c r="P1" s="171" t="s">
        <v>4</v>
      </c>
      <c r="Q1" s="173" t="s">
        <v>54</v>
      </c>
      <c r="R1" s="174" t="s">
        <v>39</v>
      </c>
      <c r="S1" s="174" t="s">
        <v>5</v>
      </c>
      <c r="T1" s="174" t="s">
        <v>6</v>
      </c>
      <c r="U1" s="174" t="s">
        <v>40</v>
      </c>
    </row>
    <row r="2" spans="1:21" ht="15" customHeight="1" x14ac:dyDescent="0.25">
      <c r="D2" s="170">
        <v>1</v>
      </c>
      <c r="E2" s="170">
        <f t="shared" ref="E2:E34" si="0">D2*S2</f>
        <v>1</v>
      </c>
      <c r="F2" s="28" t="s">
        <v>113</v>
      </c>
      <c r="G2" s="28" t="s">
        <v>99</v>
      </c>
      <c r="H2" s="28" t="s">
        <v>138</v>
      </c>
      <c r="I2" s="189">
        <v>43419</v>
      </c>
      <c r="J2" s="28" t="s">
        <v>103</v>
      </c>
      <c r="K2" s="28" t="s">
        <v>104</v>
      </c>
      <c r="L2" s="194">
        <v>2.36</v>
      </c>
      <c r="M2" s="28" t="s">
        <v>103</v>
      </c>
      <c r="N2" s="28" t="s">
        <v>104</v>
      </c>
      <c r="O2" s="194">
        <v>2.23</v>
      </c>
      <c r="P2" s="180" t="str">
        <f t="shared" ref="P2:P20" si="1">IF(OR(AND(L2&gt;=$B$12,O2&lt;$B$13),AND(J2=M2,K2=N2,L2&gt;=$B$12,O2&gt;=$B$12),AND(J2=M2,L2&gt;=$B$12,O2&lt;$B$12,O2&gt;=$B$13)),"A",IF(OR(AND(L2&lt;$B$12,O2&lt;$B$13),AND(J2=M2,OR(K2&lt;&gt;N2,K2=N2),L2&gt;=$B$13,O2&gt;=$B$13)),"B",
IF(AND(J2&lt;&gt;M2,L2&gt;=$B$13,O2&gt;=$B$13),"C",0)))</f>
        <v>A</v>
      </c>
      <c r="Q2" s="175">
        <v>1</v>
      </c>
      <c r="R2" s="175">
        <v>0</v>
      </c>
      <c r="S2" s="175">
        <v>1</v>
      </c>
      <c r="T2" s="175">
        <v>0</v>
      </c>
      <c r="U2" s="175">
        <v>0</v>
      </c>
    </row>
    <row r="3" spans="1:21" ht="15" customHeight="1" x14ac:dyDescent="0.25">
      <c r="A3" s="69" t="s">
        <v>60</v>
      </c>
      <c r="B3" s="123">
        <f>COUNT(Q:Q)</f>
        <v>44</v>
      </c>
      <c r="D3" s="170">
        <v>1</v>
      </c>
      <c r="E3" s="170">
        <f t="shared" si="0"/>
        <v>1</v>
      </c>
      <c r="F3" s="28" t="s">
        <v>114</v>
      </c>
      <c r="G3" s="28" t="s">
        <v>99</v>
      </c>
      <c r="H3" s="28" t="s">
        <v>138</v>
      </c>
      <c r="I3" s="189">
        <v>43419</v>
      </c>
      <c r="J3" s="28" t="s">
        <v>103</v>
      </c>
      <c r="K3" s="28" t="s">
        <v>104</v>
      </c>
      <c r="L3" s="195">
        <v>2.2599999999999998</v>
      </c>
      <c r="M3" s="28" t="s">
        <v>103</v>
      </c>
      <c r="N3" s="28" t="s">
        <v>104</v>
      </c>
      <c r="O3" s="194">
        <v>2.2000000000000002</v>
      </c>
      <c r="P3" s="180" t="str">
        <f t="shared" si="1"/>
        <v>A</v>
      </c>
      <c r="Q3" s="175">
        <v>1</v>
      </c>
      <c r="R3" s="175">
        <v>0</v>
      </c>
      <c r="S3" s="175">
        <v>1</v>
      </c>
      <c r="T3" s="175">
        <v>0</v>
      </c>
      <c r="U3" s="175">
        <v>0</v>
      </c>
    </row>
    <row r="4" spans="1:21" ht="15" customHeight="1" x14ac:dyDescent="0.25">
      <c r="A4" s="119" t="s">
        <v>55</v>
      </c>
      <c r="B4" s="124">
        <f>SUM(Q:Q)</f>
        <v>44</v>
      </c>
      <c r="C4" s="44"/>
      <c r="D4" s="170">
        <v>1</v>
      </c>
      <c r="E4" s="170">
        <f t="shared" si="0"/>
        <v>1</v>
      </c>
      <c r="F4" s="28" t="s">
        <v>115</v>
      </c>
      <c r="G4" s="28" t="s">
        <v>99</v>
      </c>
      <c r="H4" s="28" t="s">
        <v>138</v>
      </c>
      <c r="I4" s="189">
        <v>43419</v>
      </c>
      <c r="J4" s="28" t="s">
        <v>103</v>
      </c>
      <c r="K4" s="28" t="s">
        <v>104</v>
      </c>
      <c r="L4" s="195">
        <v>2.33</v>
      </c>
      <c r="M4" s="28" t="s">
        <v>103</v>
      </c>
      <c r="N4" s="28" t="s">
        <v>104</v>
      </c>
      <c r="O4" s="194">
        <v>2.2000000000000002</v>
      </c>
      <c r="P4" s="180" t="str">
        <f t="shared" si="1"/>
        <v>A</v>
      </c>
      <c r="Q4" s="175">
        <v>1</v>
      </c>
      <c r="R4" s="175">
        <v>0</v>
      </c>
      <c r="S4" s="175">
        <v>1</v>
      </c>
      <c r="T4" s="175">
        <v>0</v>
      </c>
      <c r="U4" s="175">
        <v>0</v>
      </c>
    </row>
    <row r="5" spans="1:21" ht="15" customHeight="1" x14ac:dyDescent="0.25">
      <c r="A5" s="1" t="s">
        <v>77</v>
      </c>
      <c r="B5" s="128">
        <f>SUM(R:R)</f>
        <v>0</v>
      </c>
      <c r="D5" s="170">
        <v>1</v>
      </c>
      <c r="E5" s="170">
        <f t="shared" si="0"/>
        <v>1</v>
      </c>
      <c r="F5" s="28" t="s">
        <v>280</v>
      </c>
      <c r="G5" s="28" t="s">
        <v>99</v>
      </c>
      <c r="H5" s="28" t="s">
        <v>138</v>
      </c>
      <c r="I5" s="189">
        <v>43418</v>
      </c>
      <c r="J5" s="28" t="s">
        <v>103</v>
      </c>
      <c r="K5" s="28" t="s">
        <v>104</v>
      </c>
      <c r="L5" s="194">
        <v>2.2200000000000002</v>
      </c>
      <c r="M5" s="28" t="s">
        <v>103</v>
      </c>
      <c r="N5" s="28" t="s">
        <v>104</v>
      </c>
      <c r="O5" s="194">
        <v>2.12</v>
      </c>
      <c r="P5" s="180" t="str">
        <f t="shared" si="1"/>
        <v>A</v>
      </c>
      <c r="Q5" s="175">
        <v>1</v>
      </c>
      <c r="R5" s="175">
        <v>0</v>
      </c>
      <c r="S5" s="175">
        <v>1</v>
      </c>
      <c r="T5" s="175">
        <v>0</v>
      </c>
      <c r="U5" s="175">
        <v>0</v>
      </c>
    </row>
    <row r="6" spans="1:21" ht="15" customHeight="1" x14ac:dyDescent="0.25">
      <c r="A6" s="1" t="s">
        <v>76</v>
      </c>
      <c r="B6" s="125"/>
      <c r="D6" s="170">
        <v>1</v>
      </c>
      <c r="E6" s="170">
        <f t="shared" si="0"/>
        <v>1</v>
      </c>
      <c r="F6" s="28" t="s">
        <v>116</v>
      </c>
      <c r="G6" s="28" t="s">
        <v>99</v>
      </c>
      <c r="H6" s="28" t="s">
        <v>138</v>
      </c>
      <c r="I6" s="189">
        <v>43084</v>
      </c>
      <c r="J6" s="28" t="s">
        <v>103</v>
      </c>
      <c r="K6" s="28" t="s">
        <v>104</v>
      </c>
      <c r="L6" s="194">
        <v>2.2999999999999998</v>
      </c>
      <c r="M6" s="28" t="s">
        <v>103</v>
      </c>
      <c r="N6" s="28" t="s">
        <v>104</v>
      </c>
      <c r="O6" s="194">
        <v>2.08</v>
      </c>
      <c r="P6" s="180" t="str">
        <f t="shared" si="1"/>
        <v>A</v>
      </c>
      <c r="Q6" s="175">
        <v>1</v>
      </c>
      <c r="R6" s="175">
        <v>0</v>
      </c>
      <c r="S6" s="175">
        <v>1</v>
      </c>
      <c r="T6" s="175">
        <v>0</v>
      </c>
      <c r="U6" s="175">
        <v>0</v>
      </c>
    </row>
    <row r="7" spans="1:21" ht="15" customHeight="1" x14ac:dyDescent="0.25">
      <c r="A7" s="7" t="s">
        <v>8</v>
      </c>
      <c r="B7" s="126">
        <f>SUM(S:S)</f>
        <v>44</v>
      </c>
      <c r="D7" s="170">
        <v>1</v>
      </c>
      <c r="E7" s="170">
        <f t="shared" si="0"/>
        <v>1</v>
      </c>
      <c r="F7" s="28" t="s">
        <v>281</v>
      </c>
      <c r="G7" s="28" t="s">
        <v>99</v>
      </c>
      <c r="H7" s="28" t="s">
        <v>138</v>
      </c>
      <c r="I7" s="189">
        <v>43084</v>
      </c>
      <c r="J7" s="28" t="s">
        <v>103</v>
      </c>
      <c r="K7" s="28" t="s">
        <v>104</v>
      </c>
      <c r="L7" s="194">
        <v>2.11</v>
      </c>
      <c r="M7" s="28" t="s">
        <v>103</v>
      </c>
      <c r="N7" s="28" t="s">
        <v>104</v>
      </c>
      <c r="O7" s="194">
        <v>1.99</v>
      </c>
      <c r="P7" s="180" t="str">
        <f t="shared" si="1"/>
        <v>A</v>
      </c>
      <c r="Q7" s="175">
        <v>1</v>
      </c>
      <c r="R7" s="175">
        <v>0</v>
      </c>
      <c r="S7" s="175">
        <v>1</v>
      </c>
      <c r="T7" s="175">
        <v>0</v>
      </c>
      <c r="U7" s="175">
        <v>0</v>
      </c>
    </row>
    <row r="8" spans="1:21" ht="15" customHeight="1" x14ac:dyDescent="0.25">
      <c r="A8" s="120" t="s">
        <v>40</v>
      </c>
      <c r="B8" s="127">
        <f>SUM(U:U)</f>
        <v>0</v>
      </c>
      <c r="D8" s="170">
        <v>1</v>
      </c>
      <c r="E8" s="170">
        <f t="shared" si="0"/>
        <v>1</v>
      </c>
      <c r="F8" s="28" t="s">
        <v>117</v>
      </c>
      <c r="G8" s="28" t="s">
        <v>99</v>
      </c>
      <c r="H8" s="28" t="s">
        <v>138</v>
      </c>
      <c r="I8" s="189">
        <v>43414</v>
      </c>
      <c r="J8" s="28" t="s">
        <v>103</v>
      </c>
      <c r="K8" s="28" t="s">
        <v>104</v>
      </c>
      <c r="L8" s="194">
        <v>2.21</v>
      </c>
      <c r="M8" s="28" t="s">
        <v>103</v>
      </c>
      <c r="N8" s="28" t="s">
        <v>104</v>
      </c>
      <c r="O8" s="194">
        <v>2.19</v>
      </c>
      <c r="P8" s="180" t="str">
        <f t="shared" si="1"/>
        <v>A</v>
      </c>
      <c r="Q8" s="175">
        <v>1</v>
      </c>
      <c r="R8" s="175">
        <v>0</v>
      </c>
      <c r="S8" s="175">
        <v>1</v>
      </c>
      <c r="T8" s="175">
        <v>0</v>
      </c>
      <c r="U8" s="175">
        <v>0</v>
      </c>
    </row>
    <row r="9" spans="1:21" ht="15" customHeight="1" x14ac:dyDescent="0.25">
      <c r="D9" s="170">
        <v>1</v>
      </c>
      <c r="E9" s="170">
        <f t="shared" si="0"/>
        <v>1</v>
      </c>
      <c r="F9" s="28" t="s">
        <v>282</v>
      </c>
      <c r="G9" s="28" t="s">
        <v>99</v>
      </c>
      <c r="H9" s="28" t="s">
        <v>138</v>
      </c>
      <c r="I9" s="189">
        <v>43084</v>
      </c>
      <c r="J9" s="28" t="s">
        <v>103</v>
      </c>
      <c r="K9" s="28" t="s">
        <v>104</v>
      </c>
      <c r="L9" s="194">
        <v>2.11</v>
      </c>
      <c r="M9" s="28" t="s">
        <v>103</v>
      </c>
      <c r="N9" s="28" t="s">
        <v>104</v>
      </c>
      <c r="O9" s="194">
        <v>2.04</v>
      </c>
      <c r="P9" s="180" t="str">
        <f t="shared" si="1"/>
        <v>A</v>
      </c>
      <c r="Q9" s="175">
        <v>1</v>
      </c>
      <c r="R9" s="175">
        <v>0</v>
      </c>
      <c r="S9" s="175">
        <v>1</v>
      </c>
      <c r="T9" s="175">
        <v>0</v>
      </c>
      <c r="U9" s="175">
        <v>0</v>
      </c>
    </row>
    <row r="10" spans="1:21" ht="15" customHeight="1" x14ac:dyDescent="0.25">
      <c r="D10" s="170">
        <v>1</v>
      </c>
      <c r="E10" s="170">
        <f t="shared" si="0"/>
        <v>1</v>
      </c>
      <c r="F10" s="28" t="s">
        <v>283</v>
      </c>
      <c r="G10" s="28" t="s">
        <v>99</v>
      </c>
      <c r="H10" s="28" t="s">
        <v>138</v>
      </c>
      <c r="I10" s="189">
        <v>43414</v>
      </c>
      <c r="J10" s="28" t="s">
        <v>103</v>
      </c>
      <c r="K10" s="28" t="s">
        <v>104</v>
      </c>
      <c r="L10" s="194">
        <v>2.46</v>
      </c>
      <c r="M10" s="28" t="s">
        <v>103</v>
      </c>
      <c r="N10" s="28" t="s">
        <v>104</v>
      </c>
      <c r="O10" s="194">
        <v>2.3199999999999998</v>
      </c>
      <c r="P10" s="180" t="str">
        <f t="shared" si="1"/>
        <v>A</v>
      </c>
      <c r="Q10" s="175">
        <v>1</v>
      </c>
      <c r="R10" s="175">
        <v>0</v>
      </c>
      <c r="S10" s="175">
        <v>1</v>
      </c>
      <c r="T10" s="175">
        <v>0</v>
      </c>
      <c r="U10" s="175">
        <v>0</v>
      </c>
    </row>
    <row r="11" spans="1:21" ht="15" customHeight="1" x14ac:dyDescent="0.25">
      <c r="D11" s="170">
        <v>1</v>
      </c>
      <c r="E11" s="170">
        <f t="shared" si="0"/>
        <v>1</v>
      </c>
      <c r="F11" s="28" t="s">
        <v>284</v>
      </c>
      <c r="G11" s="28" t="s">
        <v>99</v>
      </c>
      <c r="H11" s="28" t="s">
        <v>138</v>
      </c>
      <c r="I11" s="189">
        <v>43414</v>
      </c>
      <c r="J11" s="28" t="s">
        <v>103</v>
      </c>
      <c r="K11" s="28" t="s">
        <v>104</v>
      </c>
      <c r="L11" s="194">
        <v>2.35</v>
      </c>
      <c r="M11" s="28" t="s">
        <v>103</v>
      </c>
      <c r="N11" s="28" t="s">
        <v>104</v>
      </c>
      <c r="O11" s="194">
        <v>2.25</v>
      </c>
      <c r="P11" s="180" t="str">
        <f t="shared" si="1"/>
        <v>A</v>
      </c>
      <c r="Q11" s="175">
        <v>1</v>
      </c>
      <c r="R11" s="175">
        <v>0</v>
      </c>
      <c r="S11" s="175">
        <v>1</v>
      </c>
      <c r="T11" s="175">
        <v>0</v>
      </c>
      <c r="U11" s="175">
        <v>0</v>
      </c>
    </row>
    <row r="12" spans="1:21" ht="15" customHeight="1" x14ac:dyDescent="0.25">
      <c r="A12" s="145" t="s">
        <v>83</v>
      </c>
      <c r="B12" s="162">
        <f>Settings!F10</f>
        <v>2</v>
      </c>
      <c r="C12" s="1" t="s">
        <v>84</v>
      </c>
      <c r="D12" s="170">
        <v>1</v>
      </c>
      <c r="E12" s="170">
        <f t="shared" si="0"/>
        <v>1</v>
      </c>
      <c r="F12" s="28" t="s">
        <v>285</v>
      </c>
      <c r="G12" s="28" t="s">
        <v>99</v>
      </c>
      <c r="H12" s="28" t="s">
        <v>138</v>
      </c>
      <c r="I12" s="189">
        <v>43414</v>
      </c>
      <c r="J12" s="28" t="s">
        <v>103</v>
      </c>
      <c r="K12" s="28" t="s">
        <v>104</v>
      </c>
      <c r="L12" s="194">
        <v>2.41</v>
      </c>
      <c r="M12" s="28" t="s">
        <v>103</v>
      </c>
      <c r="N12" s="28" t="s">
        <v>104</v>
      </c>
      <c r="O12" s="194">
        <v>2.2200000000000002</v>
      </c>
      <c r="P12" s="180" t="str">
        <f t="shared" si="1"/>
        <v>A</v>
      </c>
      <c r="Q12" s="175">
        <v>1</v>
      </c>
      <c r="R12" s="175">
        <v>0</v>
      </c>
      <c r="S12" s="175">
        <v>1</v>
      </c>
      <c r="T12" s="175">
        <v>0</v>
      </c>
      <c r="U12" s="175">
        <v>0</v>
      </c>
    </row>
    <row r="13" spans="1:21" ht="15" customHeight="1" x14ac:dyDescent="0.25">
      <c r="A13" s="147"/>
      <c r="B13" s="163">
        <f>Settings!D10</f>
        <v>1.7</v>
      </c>
      <c r="C13" s="1" t="s">
        <v>85</v>
      </c>
      <c r="D13" s="170">
        <v>1</v>
      </c>
      <c r="E13" s="170">
        <f t="shared" si="0"/>
        <v>1</v>
      </c>
      <c r="F13" s="28" t="s">
        <v>286</v>
      </c>
      <c r="G13" s="28" t="s">
        <v>99</v>
      </c>
      <c r="H13" s="28" t="s">
        <v>138</v>
      </c>
      <c r="I13" s="189">
        <v>43385</v>
      </c>
      <c r="J13" s="28" t="s">
        <v>103</v>
      </c>
      <c r="K13" s="28" t="s">
        <v>104</v>
      </c>
      <c r="L13" s="194">
        <v>2.14</v>
      </c>
      <c r="M13" s="28" t="s">
        <v>103</v>
      </c>
      <c r="N13" s="28" t="s">
        <v>104</v>
      </c>
      <c r="O13" s="194">
        <v>2.0099999999999998</v>
      </c>
      <c r="P13" s="180" t="str">
        <f t="shared" si="1"/>
        <v>A</v>
      </c>
      <c r="Q13" s="175">
        <v>1</v>
      </c>
      <c r="R13" s="175">
        <v>0</v>
      </c>
      <c r="S13" s="175">
        <v>1</v>
      </c>
      <c r="T13" s="175">
        <v>0</v>
      </c>
      <c r="U13" s="175">
        <v>0</v>
      </c>
    </row>
    <row r="14" spans="1:21" ht="15" customHeight="1" x14ac:dyDescent="0.25">
      <c r="A14" s="41" t="s">
        <v>98</v>
      </c>
      <c r="B14" s="27"/>
      <c r="D14" s="170">
        <v>1</v>
      </c>
      <c r="E14" s="170">
        <f t="shared" si="0"/>
        <v>1</v>
      </c>
      <c r="F14" s="28" t="s">
        <v>118</v>
      </c>
      <c r="G14" s="28" t="s">
        <v>99</v>
      </c>
      <c r="H14" s="28" t="s">
        <v>138</v>
      </c>
      <c r="I14" s="189">
        <v>44224</v>
      </c>
      <c r="J14" s="28" t="s">
        <v>103</v>
      </c>
      <c r="K14" s="28" t="s">
        <v>104</v>
      </c>
      <c r="L14" s="194">
        <v>2.14</v>
      </c>
      <c r="M14" s="28" t="s">
        <v>103</v>
      </c>
      <c r="N14" s="28" t="s">
        <v>104</v>
      </c>
      <c r="O14" s="194">
        <v>2.08</v>
      </c>
      <c r="P14" s="180" t="str">
        <f t="shared" si="1"/>
        <v>A</v>
      </c>
      <c r="Q14" s="175">
        <v>1</v>
      </c>
      <c r="R14" s="175">
        <v>0</v>
      </c>
      <c r="S14" s="175">
        <v>1</v>
      </c>
      <c r="T14" s="175">
        <v>0</v>
      </c>
      <c r="U14" s="175">
        <v>0</v>
      </c>
    </row>
    <row r="15" spans="1:21" ht="15" customHeight="1" x14ac:dyDescent="0.25">
      <c r="D15" s="170">
        <v>1</v>
      </c>
      <c r="E15" s="170">
        <f t="shared" si="0"/>
        <v>1</v>
      </c>
      <c r="F15" s="28" t="s">
        <v>119</v>
      </c>
      <c r="G15" s="28" t="s">
        <v>99</v>
      </c>
      <c r="H15" s="28" t="s">
        <v>138</v>
      </c>
      <c r="I15" s="189">
        <v>44225</v>
      </c>
      <c r="J15" s="28" t="s">
        <v>103</v>
      </c>
      <c r="K15" s="28" t="s">
        <v>104</v>
      </c>
      <c r="L15" s="194">
        <v>2.27</v>
      </c>
      <c r="M15" s="28" t="s">
        <v>103</v>
      </c>
      <c r="N15" s="28" t="s">
        <v>104</v>
      </c>
      <c r="O15" s="194">
        <v>2.25</v>
      </c>
      <c r="P15" s="180" t="str">
        <f t="shared" si="1"/>
        <v>A</v>
      </c>
      <c r="Q15" s="175">
        <v>1</v>
      </c>
      <c r="R15" s="175">
        <v>0</v>
      </c>
      <c r="S15" s="175">
        <v>1</v>
      </c>
      <c r="T15" s="175">
        <v>0</v>
      </c>
      <c r="U15" s="175">
        <v>0</v>
      </c>
    </row>
    <row r="16" spans="1:21" ht="15" customHeight="1" x14ac:dyDescent="0.25">
      <c r="D16" s="170">
        <v>1</v>
      </c>
      <c r="E16" s="170">
        <f t="shared" si="0"/>
        <v>1</v>
      </c>
      <c r="F16" s="28" t="s">
        <v>120</v>
      </c>
      <c r="G16" s="28" t="s">
        <v>99</v>
      </c>
      <c r="H16" s="28" t="s">
        <v>138</v>
      </c>
      <c r="I16" s="189">
        <v>43547</v>
      </c>
      <c r="J16" s="28" t="s">
        <v>103</v>
      </c>
      <c r="K16" s="28" t="s">
        <v>104</v>
      </c>
      <c r="L16" s="194">
        <v>2.2200000000000002</v>
      </c>
      <c r="M16" s="28" t="s">
        <v>103</v>
      </c>
      <c r="N16" s="28" t="s">
        <v>104</v>
      </c>
      <c r="O16" s="194">
        <v>2.13</v>
      </c>
      <c r="P16" s="180" t="str">
        <f t="shared" si="1"/>
        <v>A</v>
      </c>
      <c r="Q16" s="175">
        <v>1</v>
      </c>
      <c r="R16" s="175">
        <v>0</v>
      </c>
      <c r="S16" s="175">
        <v>1</v>
      </c>
      <c r="T16" s="175">
        <v>0</v>
      </c>
      <c r="U16" s="175">
        <v>0</v>
      </c>
    </row>
    <row r="17" spans="1:21" ht="15" customHeight="1" x14ac:dyDescent="0.25">
      <c r="D17" s="170">
        <v>1</v>
      </c>
      <c r="E17" s="170">
        <f t="shared" si="0"/>
        <v>1</v>
      </c>
      <c r="F17" s="28" t="s">
        <v>287</v>
      </c>
      <c r="G17" s="28" t="s">
        <v>99</v>
      </c>
      <c r="H17" s="28" t="s">
        <v>138</v>
      </c>
      <c r="I17" s="189">
        <v>44252</v>
      </c>
      <c r="J17" s="28" t="s">
        <v>103</v>
      </c>
      <c r="K17" s="28" t="s">
        <v>104</v>
      </c>
      <c r="L17" s="194">
        <v>2.4300000000000002</v>
      </c>
      <c r="M17" s="28" t="s">
        <v>103</v>
      </c>
      <c r="N17" s="28" t="s">
        <v>104</v>
      </c>
      <c r="O17" s="194">
        <v>2.2999999999999998</v>
      </c>
      <c r="P17" s="180" t="str">
        <f t="shared" si="1"/>
        <v>A</v>
      </c>
      <c r="Q17" s="175">
        <v>1</v>
      </c>
      <c r="R17" s="175">
        <v>0</v>
      </c>
      <c r="S17" s="175">
        <v>1</v>
      </c>
      <c r="T17" s="175">
        <v>0</v>
      </c>
      <c r="U17" s="175">
        <v>0</v>
      </c>
    </row>
    <row r="18" spans="1:21" ht="15" customHeight="1" x14ac:dyDescent="0.25">
      <c r="D18" s="170">
        <v>1</v>
      </c>
      <c r="E18" s="170">
        <f t="shared" si="0"/>
        <v>1</v>
      </c>
      <c r="F18" s="28" t="s">
        <v>288</v>
      </c>
      <c r="G18" s="28" t="s">
        <v>99</v>
      </c>
      <c r="H18" s="28" t="s">
        <v>138</v>
      </c>
      <c r="I18" s="189">
        <v>43742</v>
      </c>
      <c r="J18" s="28" t="s">
        <v>103</v>
      </c>
      <c r="K18" s="28" t="s">
        <v>104</v>
      </c>
      <c r="L18" s="194">
        <v>2.44</v>
      </c>
      <c r="M18" s="28" t="s">
        <v>103</v>
      </c>
      <c r="N18" s="28" t="s">
        <v>104</v>
      </c>
      <c r="O18" s="194">
        <v>2.41</v>
      </c>
      <c r="P18" s="180" t="str">
        <f t="shared" si="1"/>
        <v>A</v>
      </c>
      <c r="Q18" s="175">
        <v>1</v>
      </c>
      <c r="R18" s="175">
        <v>0</v>
      </c>
      <c r="S18" s="175">
        <v>1</v>
      </c>
      <c r="T18" s="175">
        <v>0</v>
      </c>
      <c r="U18" s="175">
        <v>0</v>
      </c>
    </row>
    <row r="19" spans="1:21" ht="15" customHeight="1" x14ac:dyDescent="0.25">
      <c r="D19" s="170">
        <v>1</v>
      </c>
      <c r="E19" s="170">
        <f t="shared" si="0"/>
        <v>1</v>
      </c>
      <c r="F19" s="28" t="s">
        <v>121</v>
      </c>
      <c r="G19" s="28" t="s">
        <v>99</v>
      </c>
      <c r="H19" s="28" t="s">
        <v>138</v>
      </c>
      <c r="I19" s="189">
        <v>44236</v>
      </c>
      <c r="J19" s="28" t="s">
        <v>103</v>
      </c>
      <c r="K19" s="28" t="s">
        <v>104</v>
      </c>
      <c r="L19" s="194">
        <v>2.2000000000000002</v>
      </c>
      <c r="M19" s="28" t="s">
        <v>103</v>
      </c>
      <c r="N19" s="28" t="s">
        <v>104</v>
      </c>
      <c r="O19" s="194">
        <v>2.13</v>
      </c>
      <c r="P19" s="180" t="str">
        <f t="shared" si="1"/>
        <v>A</v>
      </c>
      <c r="Q19" s="175">
        <v>1</v>
      </c>
      <c r="R19" s="175">
        <v>0</v>
      </c>
      <c r="S19" s="175">
        <v>1</v>
      </c>
      <c r="T19" s="175">
        <v>0</v>
      </c>
      <c r="U19" s="175">
        <v>0</v>
      </c>
    </row>
    <row r="20" spans="1:21" ht="15" customHeight="1" x14ac:dyDescent="0.25">
      <c r="D20" s="170">
        <v>1</v>
      </c>
      <c r="E20" s="170">
        <f t="shared" si="0"/>
        <v>1</v>
      </c>
      <c r="F20" s="28" t="s">
        <v>289</v>
      </c>
      <c r="G20" s="28" t="s">
        <v>99</v>
      </c>
      <c r="H20" s="28" t="s">
        <v>138</v>
      </c>
      <c r="I20" s="189">
        <v>44252</v>
      </c>
      <c r="J20" s="28" t="s">
        <v>103</v>
      </c>
      <c r="K20" s="28" t="s">
        <v>104</v>
      </c>
      <c r="L20" s="194">
        <v>2.2200000000000002</v>
      </c>
      <c r="M20" s="28" t="s">
        <v>103</v>
      </c>
      <c r="N20" s="28" t="s">
        <v>104</v>
      </c>
      <c r="O20" s="194">
        <v>2.19</v>
      </c>
      <c r="P20" s="180" t="str">
        <f t="shared" si="1"/>
        <v>A</v>
      </c>
      <c r="Q20" s="175">
        <v>1</v>
      </c>
      <c r="R20" s="175">
        <v>0</v>
      </c>
      <c r="S20" s="175">
        <v>1</v>
      </c>
      <c r="T20" s="175">
        <v>0</v>
      </c>
      <c r="U20" s="175">
        <v>0</v>
      </c>
    </row>
    <row r="21" spans="1:21" ht="15" customHeight="1" x14ac:dyDescent="0.25">
      <c r="D21" s="170">
        <v>1</v>
      </c>
      <c r="E21" s="170">
        <f t="shared" si="0"/>
        <v>1</v>
      </c>
      <c r="F21" s="28" t="s">
        <v>290</v>
      </c>
      <c r="G21" s="28" t="s">
        <v>99</v>
      </c>
      <c r="H21" s="28" t="s">
        <v>138</v>
      </c>
      <c r="I21" s="189">
        <v>44239</v>
      </c>
      <c r="J21" s="28" t="s">
        <v>103</v>
      </c>
      <c r="K21" s="28" t="s">
        <v>104</v>
      </c>
      <c r="L21" s="194">
        <v>2.38</v>
      </c>
      <c r="M21" s="28" t="s">
        <v>103</v>
      </c>
      <c r="N21" s="28" t="s">
        <v>104</v>
      </c>
      <c r="O21" s="194">
        <v>2.2200000000000002</v>
      </c>
      <c r="P21" s="180" t="str">
        <f t="shared" ref="P21:P28" si="2">IF(OR(AND(L21&gt;=$B$12,O21&lt;$B$13),AND(J21=M21,K21=N21,L21&gt;=$B$12,O21&gt;=$B$12),AND(J21=M21,L21&gt;=$B$12,O21&lt;$B$12,O21&gt;=$B$13)),"A",IF(OR(AND(L21&lt;$B$12,O21&lt;$B$13),AND(J21=M21,OR(K21&lt;&gt;N21,K21=N21),L21&gt;=$B$13,O21&gt;=$B$13)),"B",
IF(AND(J21&lt;&gt;M21,L21&gt;=$B$13,O21&gt;=$B$13),"C",0)))</f>
        <v>A</v>
      </c>
      <c r="Q21" s="175">
        <v>1</v>
      </c>
      <c r="R21" s="175">
        <v>0</v>
      </c>
      <c r="S21" s="175">
        <v>1</v>
      </c>
      <c r="T21" s="175">
        <v>0</v>
      </c>
      <c r="U21" s="175">
        <v>0</v>
      </c>
    </row>
    <row r="22" spans="1:21" ht="15" customHeight="1" x14ac:dyDescent="0.25">
      <c r="D22" s="170">
        <v>1</v>
      </c>
      <c r="E22" s="170">
        <f t="shared" si="0"/>
        <v>1</v>
      </c>
      <c r="F22" s="28" t="s">
        <v>291</v>
      </c>
      <c r="G22" s="28" t="s">
        <v>99</v>
      </c>
      <c r="H22" s="28" t="s">
        <v>138</v>
      </c>
      <c r="I22" s="189">
        <v>43742</v>
      </c>
      <c r="J22" s="28" t="s">
        <v>103</v>
      </c>
      <c r="K22" s="28" t="s">
        <v>104</v>
      </c>
      <c r="L22" s="194">
        <v>2.2999999999999998</v>
      </c>
      <c r="M22" s="28" t="s">
        <v>103</v>
      </c>
      <c r="N22" s="28" t="s">
        <v>104</v>
      </c>
      <c r="O22" s="194">
        <v>2.2000000000000002</v>
      </c>
      <c r="P22" s="180" t="str">
        <f t="shared" si="2"/>
        <v>A</v>
      </c>
      <c r="Q22" s="175">
        <v>1</v>
      </c>
      <c r="R22" s="175">
        <v>0</v>
      </c>
      <c r="S22" s="175">
        <v>1</v>
      </c>
      <c r="T22" s="175">
        <v>0</v>
      </c>
      <c r="U22" s="175">
        <v>0</v>
      </c>
    </row>
    <row r="23" spans="1:21" ht="15" customHeight="1" x14ac:dyDescent="0.25">
      <c r="D23" s="170">
        <v>1</v>
      </c>
      <c r="E23" s="170">
        <f t="shared" si="0"/>
        <v>1</v>
      </c>
      <c r="F23" s="28" t="s">
        <v>122</v>
      </c>
      <c r="G23" s="28" t="s">
        <v>99</v>
      </c>
      <c r="H23" s="28" t="s">
        <v>138</v>
      </c>
      <c r="I23" s="189">
        <v>43755</v>
      </c>
      <c r="J23" s="28" t="s">
        <v>103</v>
      </c>
      <c r="K23" s="28" t="s">
        <v>104</v>
      </c>
      <c r="L23" s="194">
        <v>2.13</v>
      </c>
      <c r="M23" s="28" t="s">
        <v>103</v>
      </c>
      <c r="N23" s="28" t="s">
        <v>104</v>
      </c>
      <c r="O23" s="194">
        <v>2.0699999999999998</v>
      </c>
      <c r="P23" s="180" t="str">
        <f t="shared" si="2"/>
        <v>A</v>
      </c>
      <c r="Q23" s="175">
        <v>1</v>
      </c>
      <c r="R23" s="175">
        <v>0</v>
      </c>
      <c r="S23" s="175">
        <v>1</v>
      </c>
      <c r="T23" s="175">
        <v>0</v>
      </c>
      <c r="U23" s="175">
        <v>0</v>
      </c>
    </row>
    <row r="24" spans="1:21" ht="15" customHeight="1" x14ac:dyDescent="0.25">
      <c r="A24" s="69" t="s">
        <v>61</v>
      </c>
      <c r="B24" s="118">
        <f>B4</f>
        <v>44</v>
      </c>
      <c r="D24" s="170">
        <v>1</v>
      </c>
      <c r="E24" s="170">
        <f t="shared" si="0"/>
        <v>1</v>
      </c>
      <c r="F24" s="28" t="s">
        <v>123</v>
      </c>
      <c r="G24" s="28" t="s">
        <v>99</v>
      </c>
      <c r="H24" s="28" t="s">
        <v>138</v>
      </c>
      <c r="I24" s="189">
        <v>44033</v>
      </c>
      <c r="J24" s="28" t="s">
        <v>103</v>
      </c>
      <c r="K24" s="28" t="s">
        <v>104</v>
      </c>
      <c r="L24" s="194">
        <v>2.1</v>
      </c>
      <c r="M24" s="28" t="s">
        <v>103</v>
      </c>
      <c r="N24" s="28" t="s">
        <v>104</v>
      </c>
      <c r="O24" s="194">
        <v>2.08</v>
      </c>
      <c r="P24" s="180" t="str">
        <f t="shared" si="2"/>
        <v>A</v>
      </c>
      <c r="Q24" s="175">
        <v>1</v>
      </c>
      <c r="R24" s="175">
        <v>0</v>
      </c>
      <c r="S24" s="175">
        <v>1</v>
      </c>
      <c r="T24" s="175">
        <v>0</v>
      </c>
      <c r="U24" s="175">
        <v>0</v>
      </c>
    </row>
    <row r="25" spans="1:21" ht="15" customHeight="1" x14ac:dyDescent="0.25">
      <c r="A25" s="80" t="s">
        <v>67</v>
      </c>
      <c r="B25" s="100">
        <f>B7</f>
        <v>44</v>
      </c>
      <c r="D25" s="170">
        <v>1</v>
      </c>
      <c r="E25" s="170">
        <f t="shared" si="0"/>
        <v>1</v>
      </c>
      <c r="F25" s="28" t="s">
        <v>124</v>
      </c>
      <c r="G25" s="28" t="s">
        <v>99</v>
      </c>
      <c r="H25" s="28" t="s">
        <v>138</v>
      </c>
      <c r="I25" s="189">
        <v>44033</v>
      </c>
      <c r="J25" s="28" t="s">
        <v>103</v>
      </c>
      <c r="K25" s="28" t="s">
        <v>104</v>
      </c>
      <c r="L25" s="194">
        <v>2.38</v>
      </c>
      <c r="M25" s="28" t="s">
        <v>103</v>
      </c>
      <c r="N25" s="28" t="s">
        <v>104</v>
      </c>
      <c r="O25" s="194">
        <v>2.2599999999999998</v>
      </c>
      <c r="P25" s="180" t="str">
        <f t="shared" si="2"/>
        <v>A</v>
      </c>
      <c r="Q25" s="175">
        <v>1</v>
      </c>
      <c r="R25" s="175">
        <v>0</v>
      </c>
      <c r="S25" s="175">
        <v>1</v>
      </c>
      <c r="T25" s="175">
        <v>0</v>
      </c>
      <c r="U25" s="175">
        <v>0</v>
      </c>
    </row>
    <row r="26" spans="1:21" ht="15" customHeight="1" x14ac:dyDescent="0.25">
      <c r="A26" s="84" t="s">
        <v>69</v>
      </c>
      <c r="B26" s="99">
        <f>B8</f>
        <v>0</v>
      </c>
      <c r="D26" s="170">
        <v>1</v>
      </c>
      <c r="E26" s="170">
        <f t="shared" si="0"/>
        <v>1</v>
      </c>
      <c r="F26" s="28" t="s">
        <v>125</v>
      </c>
      <c r="G26" s="28" t="s">
        <v>99</v>
      </c>
      <c r="H26" s="28" t="s">
        <v>138</v>
      </c>
      <c r="I26" s="189">
        <v>44239</v>
      </c>
      <c r="J26" s="28" t="s">
        <v>103</v>
      </c>
      <c r="K26" s="28" t="s">
        <v>104</v>
      </c>
      <c r="L26" s="194">
        <v>2.36</v>
      </c>
      <c r="M26" s="28" t="s">
        <v>103</v>
      </c>
      <c r="N26" s="28" t="s">
        <v>104</v>
      </c>
      <c r="O26" s="194">
        <v>2.34</v>
      </c>
      <c r="P26" s="180" t="str">
        <f t="shared" si="2"/>
        <v>A</v>
      </c>
      <c r="Q26" s="175">
        <v>1</v>
      </c>
      <c r="R26" s="175">
        <v>0</v>
      </c>
      <c r="S26" s="175">
        <v>1</v>
      </c>
      <c r="T26" s="175">
        <v>0</v>
      </c>
      <c r="U26" s="175">
        <v>0</v>
      </c>
    </row>
    <row r="27" spans="1:21" ht="15" customHeight="1" x14ac:dyDescent="0.25">
      <c r="D27" s="170">
        <v>1</v>
      </c>
      <c r="E27" s="170">
        <f t="shared" si="0"/>
        <v>1</v>
      </c>
      <c r="F27" s="28" t="s">
        <v>126</v>
      </c>
      <c r="G27" s="28" t="s">
        <v>99</v>
      </c>
      <c r="H27" s="28" t="s">
        <v>138</v>
      </c>
      <c r="I27" s="189">
        <v>43547</v>
      </c>
      <c r="J27" s="28" t="s">
        <v>103</v>
      </c>
      <c r="K27" s="28" t="s">
        <v>104</v>
      </c>
      <c r="L27" s="194">
        <v>2.35</v>
      </c>
      <c r="M27" s="28" t="s">
        <v>103</v>
      </c>
      <c r="N27" s="28" t="s">
        <v>104</v>
      </c>
      <c r="O27" s="194">
        <v>2.27</v>
      </c>
      <c r="P27" s="180" t="str">
        <f t="shared" si="2"/>
        <v>A</v>
      </c>
      <c r="Q27" s="175">
        <v>1</v>
      </c>
      <c r="R27" s="175">
        <v>0</v>
      </c>
      <c r="S27" s="175">
        <v>1</v>
      </c>
      <c r="T27" s="175">
        <v>0</v>
      </c>
      <c r="U27" s="175">
        <v>0</v>
      </c>
    </row>
    <row r="28" spans="1:21" ht="15" customHeight="1" x14ac:dyDescent="0.25">
      <c r="A28" s="1" t="s">
        <v>79</v>
      </c>
      <c r="B28" s="44">
        <f>B5/B3</f>
        <v>0</v>
      </c>
      <c r="D28" s="170">
        <v>1</v>
      </c>
      <c r="E28" s="170">
        <f t="shared" si="0"/>
        <v>1</v>
      </c>
      <c r="F28" s="28" t="s">
        <v>127</v>
      </c>
      <c r="G28" s="28" t="s">
        <v>99</v>
      </c>
      <c r="H28" s="28" t="s">
        <v>138</v>
      </c>
      <c r="I28" s="189">
        <v>43547</v>
      </c>
      <c r="J28" s="28" t="s">
        <v>103</v>
      </c>
      <c r="K28" s="28" t="s">
        <v>104</v>
      </c>
      <c r="L28" s="194">
        <v>2.4500000000000002</v>
      </c>
      <c r="M28" s="28" t="s">
        <v>103</v>
      </c>
      <c r="N28" s="28" t="s">
        <v>104</v>
      </c>
      <c r="O28" s="194">
        <v>2.41</v>
      </c>
      <c r="P28" s="180" t="str">
        <f t="shared" si="2"/>
        <v>A</v>
      </c>
      <c r="Q28" s="175">
        <v>1</v>
      </c>
      <c r="R28" s="175">
        <v>0</v>
      </c>
      <c r="S28" s="175">
        <v>1</v>
      </c>
      <c r="T28" s="175">
        <v>0</v>
      </c>
      <c r="U28" s="175">
        <v>0</v>
      </c>
    </row>
    <row r="29" spans="1:21" ht="15" customHeight="1" x14ac:dyDescent="0.25">
      <c r="A29" s="134" t="s">
        <v>80</v>
      </c>
      <c r="B29" s="135">
        <f>B8/B4</f>
        <v>0</v>
      </c>
      <c r="D29" s="170">
        <v>1</v>
      </c>
      <c r="E29" s="170">
        <f t="shared" si="0"/>
        <v>1</v>
      </c>
      <c r="F29" s="28" t="s">
        <v>292</v>
      </c>
      <c r="G29" s="28" t="s">
        <v>99</v>
      </c>
      <c r="H29" s="28" t="s">
        <v>138</v>
      </c>
      <c r="I29" s="189">
        <v>44239</v>
      </c>
      <c r="J29" s="28" t="s">
        <v>103</v>
      </c>
      <c r="K29" s="28" t="s">
        <v>104</v>
      </c>
      <c r="L29" s="194">
        <v>2.25</v>
      </c>
      <c r="M29" s="28" t="s">
        <v>103</v>
      </c>
      <c r="N29" s="28" t="s">
        <v>104</v>
      </c>
      <c r="O29" s="194">
        <v>2.09</v>
      </c>
      <c r="P29" s="180" t="str">
        <f t="shared" ref="P29:P34" si="3">IF(OR(AND(L29&gt;=$B$12,O29&lt;$B$13),AND(J29=M29,K29=N29,L29&gt;=$B$12,O29&gt;=$B$12),AND(J29=M29,L29&gt;=$B$12,O29&lt;$B$12,O29&gt;=$B$13)),"A",IF(OR(AND(L29&lt;$B$12,O29&lt;$B$13),AND(J29=M29,OR(K29&lt;&gt;N29,K29=N29),L29&gt;=$B$13,O29&gt;=$B$13)),"B",
IF(AND(J29&lt;&gt;M29,L29&gt;=$B$13,O29&gt;=$B$13),"C",0)))</f>
        <v>A</v>
      </c>
      <c r="Q29" s="175">
        <v>1</v>
      </c>
      <c r="R29" s="175">
        <v>0</v>
      </c>
      <c r="S29" s="175">
        <v>1</v>
      </c>
      <c r="T29" s="175">
        <v>0</v>
      </c>
      <c r="U29" s="175">
        <v>0</v>
      </c>
    </row>
    <row r="30" spans="1:21" ht="15" customHeight="1" x14ac:dyDescent="0.25">
      <c r="D30" s="170">
        <v>1</v>
      </c>
      <c r="E30" s="170">
        <f t="shared" si="0"/>
        <v>1</v>
      </c>
      <c r="F30" s="28" t="s">
        <v>128</v>
      </c>
      <c r="G30" s="28" t="s">
        <v>99</v>
      </c>
      <c r="H30" s="28" t="s">
        <v>138</v>
      </c>
      <c r="I30" s="189">
        <v>44239</v>
      </c>
      <c r="J30" s="28" t="s">
        <v>103</v>
      </c>
      <c r="K30" s="28" t="s">
        <v>104</v>
      </c>
      <c r="L30" s="194">
        <v>2.0499999999999998</v>
      </c>
      <c r="M30" s="28" t="s">
        <v>103</v>
      </c>
      <c r="N30" s="28" t="s">
        <v>104</v>
      </c>
      <c r="O30" s="194">
        <v>2.02</v>
      </c>
      <c r="P30" s="180" t="str">
        <f t="shared" si="3"/>
        <v>A</v>
      </c>
      <c r="Q30" s="175">
        <v>1</v>
      </c>
      <c r="R30" s="175">
        <v>0</v>
      </c>
      <c r="S30" s="175">
        <v>1</v>
      </c>
      <c r="T30" s="175">
        <v>0</v>
      </c>
      <c r="U30" s="175">
        <v>0</v>
      </c>
    </row>
    <row r="31" spans="1:21" ht="15" customHeight="1" x14ac:dyDescent="0.25">
      <c r="D31" s="170">
        <v>1</v>
      </c>
      <c r="E31" s="170">
        <f t="shared" si="0"/>
        <v>1</v>
      </c>
      <c r="F31" s="28" t="s">
        <v>293</v>
      </c>
      <c r="G31" s="28" t="s">
        <v>99</v>
      </c>
      <c r="H31" s="28" t="s">
        <v>138</v>
      </c>
      <c r="I31" s="189">
        <v>43756</v>
      </c>
      <c r="J31" s="28" t="s">
        <v>103</v>
      </c>
      <c r="K31" s="28" t="s">
        <v>104</v>
      </c>
      <c r="L31" s="194">
        <v>2.4</v>
      </c>
      <c r="M31" s="28" t="s">
        <v>103</v>
      </c>
      <c r="N31" s="28" t="s">
        <v>104</v>
      </c>
      <c r="O31" s="194">
        <v>2.2999999999999998</v>
      </c>
      <c r="P31" s="180" t="str">
        <f t="shared" si="3"/>
        <v>A</v>
      </c>
      <c r="Q31" s="175">
        <v>1</v>
      </c>
      <c r="R31" s="175">
        <v>0</v>
      </c>
      <c r="S31" s="175">
        <v>1</v>
      </c>
      <c r="T31" s="175">
        <v>0</v>
      </c>
      <c r="U31" s="175">
        <v>0</v>
      </c>
    </row>
    <row r="32" spans="1:21" ht="15" customHeight="1" x14ac:dyDescent="0.25">
      <c r="D32" s="170">
        <v>1</v>
      </c>
      <c r="E32" s="170">
        <f t="shared" si="0"/>
        <v>1</v>
      </c>
      <c r="F32" s="28" t="s">
        <v>129</v>
      </c>
      <c r="G32" s="28" t="s">
        <v>99</v>
      </c>
      <c r="H32" s="28" t="s">
        <v>138</v>
      </c>
      <c r="I32" s="189">
        <v>44239</v>
      </c>
      <c r="J32" s="28" t="s">
        <v>103</v>
      </c>
      <c r="K32" s="28" t="s">
        <v>104</v>
      </c>
      <c r="L32" s="194">
        <v>2.29</v>
      </c>
      <c r="M32" s="28" t="s">
        <v>103</v>
      </c>
      <c r="N32" s="28" t="s">
        <v>104</v>
      </c>
      <c r="O32" s="194">
        <v>2.16</v>
      </c>
      <c r="P32" s="180" t="str">
        <f t="shared" si="3"/>
        <v>A</v>
      </c>
      <c r="Q32" s="175">
        <v>1</v>
      </c>
      <c r="R32" s="175">
        <v>0</v>
      </c>
      <c r="S32" s="175">
        <v>1</v>
      </c>
      <c r="T32" s="175">
        <v>0</v>
      </c>
      <c r="U32" s="175">
        <v>0</v>
      </c>
    </row>
    <row r="33" spans="4:21" ht="15" customHeight="1" x14ac:dyDescent="0.25">
      <c r="D33" s="170">
        <v>1</v>
      </c>
      <c r="E33" s="170">
        <f t="shared" si="0"/>
        <v>1</v>
      </c>
      <c r="F33" s="28" t="s">
        <v>130</v>
      </c>
      <c r="G33" s="28" t="s">
        <v>99</v>
      </c>
      <c r="H33" s="28" t="s">
        <v>138</v>
      </c>
      <c r="I33" s="189">
        <v>44253</v>
      </c>
      <c r="J33" s="28" t="s">
        <v>103</v>
      </c>
      <c r="K33" s="28" t="s">
        <v>104</v>
      </c>
      <c r="L33" s="194">
        <v>2.39</v>
      </c>
      <c r="M33" s="28" t="s">
        <v>103</v>
      </c>
      <c r="N33" s="28" t="s">
        <v>104</v>
      </c>
      <c r="O33" s="194">
        <v>2.2400000000000002</v>
      </c>
      <c r="P33" s="180" t="str">
        <f t="shared" si="3"/>
        <v>A</v>
      </c>
      <c r="Q33" s="175">
        <v>1</v>
      </c>
      <c r="R33" s="175">
        <v>0</v>
      </c>
      <c r="S33" s="175">
        <v>1</v>
      </c>
      <c r="T33" s="175">
        <v>0</v>
      </c>
      <c r="U33" s="175">
        <v>0</v>
      </c>
    </row>
    <row r="34" spans="4:21" ht="15" customHeight="1" x14ac:dyDescent="0.25">
      <c r="D34" s="170">
        <v>1</v>
      </c>
      <c r="E34" s="170">
        <f t="shared" si="0"/>
        <v>1</v>
      </c>
      <c r="F34" s="28" t="s">
        <v>131</v>
      </c>
      <c r="G34" s="28" t="s">
        <v>99</v>
      </c>
      <c r="H34" s="28" t="s">
        <v>138</v>
      </c>
      <c r="I34" s="189">
        <v>44239</v>
      </c>
      <c r="J34" s="28" t="s">
        <v>103</v>
      </c>
      <c r="K34" s="28" t="s">
        <v>104</v>
      </c>
      <c r="L34" s="194">
        <v>2.42</v>
      </c>
      <c r="M34" s="28" t="s">
        <v>103</v>
      </c>
      <c r="N34" s="28" t="s">
        <v>104</v>
      </c>
      <c r="O34" s="194">
        <v>2.1800000000000002</v>
      </c>
      <c r="P34" s="180" t="str">
        <f t="shared" si="3"/>
        <v>A</v>
      </c>
      <c r="Q34" s="175">
        <v>1</v>
      </c>
      <c r="R34" s="175">
        <v>0</v>
      </c>
      <c r="S34" s="175">
        <v>1</v>
      </c>
      <c r="T34" s="175">
        <v>0</v>
      </c>
      <c r="U34" s="175">
        <v>0</v>
      </c>
    </row>
    <row r="35" spans="4:21" ht="15" customHeight="1" x14ac:dyDescent="0.25">
      <c r="D35" s="170">
        <v>1</v>
      </c>
      <c r="E35" s="170">
        <f t="shared" ref="E35" si="4">D35*S35</f>
        <v>1</v>
      </c>
      <c r="F35" s="28" t="s">
        <v>294</v>
      </c>
      <c r="G35" s="28" t="s">
        <v>99</v>
      </c>
      <c r="H35" s="28" t="s">
        <v>138</v>
      </c>
      <c r="I35" s="189">
        <v>43755</v>
      </c>
      <c r="J35" s="28" t="s">
        <v>103</v>
      </c>
      <c r="K35" s="28" t="s">
        <v>104</v>
      </c>
      <c r="L35" s="194">
        <v>2.2000000000000002</v>
      </c>
      <c r="M35" s="28" t="s">
        <v>103</v>
      </c>
      <c r="N35" s="28" t="s">
        <v>104</v>
      </c>
      <c r="O35" s="194">
        <v>2.14</v>
      </c>
      <c r="P35" s="180" t="str">
        <f t="shared" ref="P35:P43" si="5">IF(OR(AND(L35&gt;=$B$12,O35&lt;$B$13),AND(J35=M35,K35=N35,L35&gt;=$B$12,O35&gt;=$B$12),AND(J35=M35,L35&gt;=$B$12,O35&lt;$B$12,O35&gt;=$B$13)),"A",IF(OR(AND(L35&lt;$B$12,O35&lt;$B$13),AND(J35=M35,OR(K35&lt;&gt;N35,K35=N35),L35&gt;=$B$13,O35&gt;=$B$13)),"B",
IF(AND(J35&lt;&gt;M35,L35&gt;=$B$13,O35&gt;=$B$13),"C",0)))</f>
        <v>A</v>
      </c>
      <c r="Q35" s="175">
        <v>1</v>
      </c>
      <c r="R35" s="175">
        <v>0</v>
      </c>
      <c r="S35" s="175">
        <v>1</v>
      </c>
      <c r="T35" s="175">
        <v>0</v>
      </c>
      <c r="U35" s="175">
        <v>0</v>
      </c>
    </row>
    <row r="36" spans="4:21" ht="15" customHeight="1" x14ac:dyDescent="0.25">
      <c r="D36" s="170">
        <v>1</v>
      </c>
      <c r="E36" s="170">
        <v>1</v>
      </c>
      <c r="F36" s="28" t="s">
        <v>295</v>
      </c>
      <c r="G36" s="28" t="s">
        <v>99</v>
      </c>
      <c r="H36" s="28" t="s">
        <v>138</v>
      </c>
      <c r="I36" s="189">
        <v>44239</v>
      </c>
      <c r="J36" s="28" t="s">
        <v>103</v>
      </c>
      <c r="K36" s="28" t="s">
        <v>104</v>
      </c>
      <c r="L36" s="194">
        <v>2.2200000000000002</v>
      </c>
      <c r="M36" s="28" t="s">
        <v>103</v>
      </c>
      <c r="N36" s="28" t="s">
        <v>104</v>
      </c>
      <c r="O36" s="194">
        <v>2.16</v>
      </c>
      <c r="P36" s="180" t="str">
        <f t="shared" si="5"/>
        <v>A</v>
      </c>
      <c r="Q36" s="175">
        <v>1</v>
      </c>
      <c r="R36" s="175">
        <v>0</v>
      </c>
      <c r="S36" s="175">
        <v>1</v>
      </c>
      <c r="T36" s="175">
        <v>0</v>
      </c>
      <c r="U36" s="175">
        <v>0</v>
      </c>
    </row>
    <row r="37" spans="4:21" ht="15" customHeight="1" x14ac:dyDescent="0.25">
      <c r="D37" s="170">
        <v>1</v>
      </c>
      <c r="E37" s="170">
        <v>1</v>
      </c>
      <c r="F37" s="28" t="s">
        <v>132</v>
      </c>
      <c r="G37" s="28" t="s">
        <v>99</v>
      </c>
      <c r="H37" s="28" t="s">
        <v>138</v>
      </c>
      <c r="I37" s="189">
        <v>44254</v>
      </c>
      <c r="J37" s="28" t="s">
        <v>103</v>
      </c>
      <c r="K37" s="28" t="s">
        <v>104</v>
      </c>
      <c r="L37" s="194">
        <v>2.38</v>
      </c>
      <c r="M37" s="28" t="s">
        <v>103</v>
      </c>
      <c r="N37" s="28" t="s">
        <v>104</v>
      </c>
      <c r="O37" s="194">
        <v>2.2200000000000002</v>
      </c>
      <c r="P37" s="180" t="str">
        <f t="shared" si="5"/>
        <v>A</v>
      </c>
      <c r="Q37" s="175">
        <v>1</v>
      </c>
      <c r="R37" s="175">
        <v>0</v>
      </c>
      <c r="S37" s="175">
        <v>1</v>
      </c>
      <c r="T37" s="175">
        <v>0</v>
      </c>
      <c r="U37" s="175">
        <v>0</v>
      </c>
    </row>
    <row r="38" spans="4:21" ht="15" customHeight="1" x14ac:dyDescent="0.25">
      <c r="D38" s="170">
        <v>1</v>
      </c>
      <c r="E38" s="170">
        <v>1</v>
      </c>
      <c r="F38" s="28" t="s">
        <v>296</v>
      </c>
      <c r="G38" s="28" t="s">
        <v>99</v>
      </c>
      <c r="H38" s="28" t="s">
        <v>138</v>
      </c>
      <c r="I38" s="189">
        <v>44037</v>
      </c>
      <c r="J38" s="28" t="s">
        <v>103</v>
      </c>
      <c r="K38" s="28" t="s">
        <v>104</v>
      </c>
      <c r="L38" s="194">
        <v>2.3199999999999998</v>
      </c>
      <c r="M38" s="28" t="s">
        <v>103</v>
      </c>
      <c r="N38" s="28" t="s">
        <v>104</v>
      </c>
      <c r="O38" s="194">
        <v>2.31</v>
      </c>
      <c r="P38" s="180" t="str">
        <f t="shared" si="5"/>
        <v>A</v>
      </c>
      <c r="Q38" s="175">
        <v>1</v>
      </c>
      <c r="R38" s="175">
        <v>0</v>
      </c>
      <c r="S38" s="175">
        <v>1</v>
      </c>
      <c r="T38" s="175">
        <v>0</v>
      </c>
      <c r="U38" s="175">
        <v>0</v>
      </c>
    </row>
    <row r="39" spans="4:21" ht="15" customHeight="1" x14ac:dyDescent="0.25">
      <c r="D39" s="170">
        <v>1</v>
      </c>
      <c r="E39" s="170">
        <v>1</v>
      </c>
      <c r="F39" s="28" t="s">
        <v>133</v>
      </c>
      <c r="G39" s="28" t="s">
        <v>99</v>
      </c>
      <c r="H39" s="28" t="s">
        <v>138</v>
      </c>
      <c r="I39" s="189">
        <v>44263</v>
      </c>
      <c r="J39" s="28" t="s">
        <v>103</v>
      </c>
      <c r="K39" s="28" t="s">
        <v>104</v>
      </c>
      <c r="L39" s="194">
        <v>2.2000000000000002</v>
      </c>
      <c r="M39" s="28" t="s">
        <v>103</v>
      </c>
      <c r="N39" s="28" t="s">
        <v>104</v>
      </c>
      <c r="O39" s="194">
        <v>2.08</v>
      </c>
      <c r="P39" s="180" t="str">
        <f t="shared" si="5"/>
        <v>A</v>
      </c>
      <c r="Q39" s="175">
        <v>1</v>
      </c>
      <c r="R39" s="175">
        <v>0</v>
      </c>
      <c r="S39" s="175">
        <v>1</v>
      </c>
      <c r="T39" s="175">
        <v>0</v>
      </c>
      <c r="U39" s="175">
        <v>0</v>
      </c>
    </row>
    <row r="40" spans="4:21" ht="15" customHeight="1" x14ac:dyDescent="0.25">
      <c r="D40" s="170">
        <v>1</v>
      </c>
      <c r="E40" s="170">
        <v>1</v>
      </c>
      <c r="F40" s="28" t="s">
        <v>297</v>
      </c>
      <c r="G40" s="28" t="s">
        <v>99</v>
      </c>
      <c r="H40" s="28" t="s">
        <v>138</v>
      </c>
      <c r="I40" s="189">
        <v>44037</v>
      </c>
      <c r="J40" s="28" t="s">
        <v>103</v>
      </c>
      <c r="K40" s="28" t="s">
        <v>104</v>
      </c>
      <c r="L40" s="194">
        <v>2.02</v>
      </c>
      <c r="M40" s="28" t="s">
        <v>103</v>
      </c>
      <c r="N40" s="28" t="s">
        <v>104</v>
      </c>
      <c r="O40" s="194">
        <v>2.0099999999999998</v>
      </c>
      <c r="P40" s="180" t="str">
        <f t="shared" si="5"/>
        <v>A</v>
      </c>
      <c r="Q40" s="175">
        <v>1</v>
      </c>
      <c r="R40" s="175">
        <v>0</v>
      </c>
      <c r="S40" s="175">
        <v>1</v>
      </c>
      <c r="T40" s="175">
        <v>0</v>
      </c>
      <c r="U40" s="175">
        <v>0</v>
      </c>
    </row>
    <row r="41" spans="4:21" ht="15" customHeight="1" x14ac:dyDescent="0.25">
      <c r="D41" s="170">
        <v>1</v>
      </c>
      <c r="E41" s="170">
        <v>1</v>
      </c>
      <c r="F41" s="28" t="s">
        <v>134</v>
      </c>
      <c r="G41" s="28" t="s">
        <v>99</v>
      </c>
      <c r="H41" s="28" t="s">
        <v>138</v>
      </c>
      <c r="I41" s="189">
        <v>44037</v>
      </c>
      <c r="J41" s="28" t="s">
        <v>103</v>
      </c>
      <c r="K41" s="28" t="s">
        <v>104</v>
      </c>
      <c r="L41" s="194">
        <v>2.5299999999999998</v>
      </c>
      <c r="M41" s="28" t="s">
        <v>103</v>
      </c>
      <c r="N41" s="28" t="s">
        <v>104</v>
      </c>
      <c r="O41" s="194">
        <v>2.2200000000000002</v>
      </c>
      <c r="P41" s="180" t="str">
        <f t="shared" si="5"/>
        <v>A</v>
      </c>
      <c r="Q41" s="175">
        <v>1</v>
      </c>
      <c r="R41" s="175">
        <v>0</v>
      </c>
      <c r="S41" s="175">
        <v>1</v>
      </c>
      <c r="T41" s="175">
        <v>0</v>
      </c>
      <c r="U41" s="175">
        <v>0</v>
      </c>
    </row>
    <row r="42" spans="4:21" ht="15" customHeight="1" x14ac:dyDescent="0.25">
      <c r="D42" s="170">
        <v>1</v>
      </c>
      <c r="E42" s="170">
        <v>1</v>
      </c>
      <c r="F42" s="28" t="s">
        <v>135</v>
      </c>
      <c r="G42" s="28" t="s">
        <v>99</v>
      </c>
      <c r="H42" s="28" t="s">
        <v>138</v>
      </c>
      <c r="I42" s="189">
        <v>43756</v>
      </c>
      <c r="J42" s="28" t="s">
        <v>103</v>
      </c>
      <c r="K42" s="28" t="s">
        <v>104</v>
      </c>
      <c r="L42" s="194">
        <v>2.2400000000000002</v>
      </c>
      <c r="M42" s="28" t="s">
        <v>103</v>
      </c>
      <c r="N42" s="28" t="s">
        <v>104</v>
      </c>
      <c r="O42" s="194">
        <v>2.2200000000000002</v>
      </c>
      <c r="P42" s="180" t="str">
        <f t="shared" si="5"/>
        <v>A</v>
      </c>
      <c r="Q42" s="175">
        <v>1</v>
      </c>
      <c r="R42" s="175">
        <v>0</v>
      </c>
      <c r="S42" s="175">
        <v>1</v>
      </c>
      <c r="T42" s="175">
        <v>0</v>
      </c>
      <c r="U42" s="175">
        <v>0</v>
      </c>
    </row>
    <row r="43" spans="4:21" ht="15" customHeight="1" x14ac:dyDescent="0.25">
      <c r="D43" s="170">
        <v>1</v>
      </c>
      <c r="E43" s="170">
        <v>1</v>
      </c>
      <c r="F43" s="28" t="s">
        <v>136</v>
      </c>
      <c r="G43" s="28" t="s">
        <v>99</v>
      </c>
      <c r="H43" s="28" t="s">
        <v>138</v>
      </c>
      <c r="I43" s="189">
        <v>44033</v>
      </c>
      <c r="J43" s="28" t="s">
        <v>103</v>
      </c>
      <c r="K43" s="28" t="s">
        <v>104</v>
      </c>
      <c r="L43" s="194">
        <v>2.34</v>
      </c>
      <c r="M43" s="28" t="s">
        <v>103</v>
      </c>
      <c r="N43" s="28" t="s">
        <v>104</v>
      </c>
      <c r="O43" s="194">
        <v>2.33</v>
      </c>
      <c r="P43" s="180" t="str">
        <f t="shared" si="5"/>
        <v>A</v>
      </c>
      <c r="Q43" s="175">
        <v>1</v>
      </c>
      <c r="R43" s="175">
        <v>0</v>
      </c>
      <c r="S43" s="175">
        <v>1</v>
      </c>
      <c r="T43" s="175">
        <v>0</v>
      </c>
      <c r="U43" s="175">
        <v>0</v>
      </c>
    </row>
    <row r="44" spans="4:21" ht="15" customHeight="1" x14ac:dyDescent="0.25">
      <c r="D44" s="170">
        <v>1</v>
      </c>
      <c r="E44" s="170">
        <v>0</v>
      </c>
      <c r="F44" s="28" t="s">
        <v>137</v>
      </c>
      <c r="G44" s="28" t="s">
        <v>99</v>
      </c>
      <c r="H44" s="28" t="s">
        <v>138</v>
      </c>
      <c r="I44" s="189"/>
      <c r="J44" s="28" t="s">
        <v>103</v>
      </c>
      <c r="K44" s="28" t="s">
        <v>104</v>
      </c>
      <c r="L44" s="194">
        <v>2.09</v>
      </c>
      <c r="M44" s="28" t="s">
        <v>103</v>
      </c>
      <c r="N44" s="28" t="s">
        <v>104</v>
      </c>
      <c r="O44" s="194">
        <v>1.94</v>
      </c>
      <c r="P44" s="180" t="str">
        <f t="shared" ref="P44:P45" si="6">IF(OR(AND(L44&gt;=$B$12,O44&lt;$B$13),AND(J44=M44,K44=N44,L44&gt;=$B$12,O44&gt;=$B$12),AND(J44=M44,L44&gt;=$B$12,O44&lt;$B$12,O44&gt;=$B$13)),"A",IF(OR(AND(L44&lt;$B$12,O44&lt;$B$13),AND(J44=M44,OR(K44&lt;&gt;N44,K44=N44),L44&gt;=$B$13,O44&gt;=$B$13)),"B",
IF(AND(J44&lt;&gt;M44,L44&gt;=$B$13,O44&gt;=$B$13),"C",0)))</f>
        <v>A</v>
      </c>
      <c r="Q44" s="175">
        <v>1</v>
      </c>
      <c r="R44" s="175">
        <v>0</v>
      </c>
      <c r="S44" s="175">
        <v>1</v>
      </c>
      <c r="T44" s="175">
        <v>0</v>
      </c>
      <c r="U44" s="175">
        <v>0</v>
      </c>
    </row>
    <row r="45" spans="4:21" ht="15" customHeight="1" x14ac:dyDescent="0.25">
      <c r="D45" s="170">
        <v>1</v>
      </c>
      <c r="E45" s="170">
        <v>0</v>
      </c>
      <c r="F45" s="28" t="s">
        <v>139</v>
      </c>
      <c r="G45" s="28" t="s">
        <v>99</v>
      </c>
      <c r="H45" s="28" t="s">
        <v>138</v>
      </c>
      <c r="I45" s="189"/>
      <c r="J45" s="28" t="s">
        <v>103</v>
      </c>
      <c r="K45" s="28" t="s">
        <v>104</v>
      </c>
      <c r="L45" s="194">
        <v>2.06</v>
      </c>
      <c r="M45" s="28" t="s">
        <v>103</v>
      </c>
      <c r="N45" s="194" t="s">
        <v>104</v>
      </c>
      <c r="O45" s="194">
        <v>2.0099999999999998</v>
      </c>
      <c r="P45" s="180" t="str">
        <f t="shared" si="6"/>
        <v>A</v>
      </c>
      <c r="Q45" s="175">
        <v>1</v>
      </c>
      <c r="R45" s="175">
        <v>0</v>
      </c>
      <c r="S45" s="175">
        <v>1</v>
      </c>
      <c r="T45" s="175">
        <v>0</v>
      </c>
      <c r="U45" s="175">
        <v>0</v>
      </c>
    </row>
  </sheetData>
  <autoFilter ref="F1:V44"/>
  <conditionalFormatting sqref="R1:R1048576">
    <cfRule type="cellIs" dxfId="167" priority="131" operator="equal">
      <formula>1</formula>
    </cfRule>
  </conditionalFormatting>
  <conditionalFormatting sqref="U1:U1048576">
    <cfRule type="cellIs" dxfId="166" priority="130" operator="equal">
      <formula>1</formula>
    </cfRule>
  </conditionalFormatting>
  <conditionalFormatting sqref="K46:K1048576 N46:N1048576">
    <cfRule type="cellIs" dxfId="165" priority="139" operator="notEqual">
      <formula>OR($C$1,0)</formula>
    </cfRule>
  </conditionalFormatting>
  <conditionalFormatting sqref="M46:M1048576 J46:J1048576">
    <cfRule type="cellIs" dxfId="164" priority="141" operator="notEqual">
      <formula>OR($B$1,0)</formula>
    </cfRule>
  </conditionalFormatting>
  <conditionalFormatting sqref="K46:K1048576 N46:N1048576">
    <cfRule type="cellIs" dxfId="163" priority="138" operator="equal">
      <formula>$C$1</formula>
    </cfRule>
  </conditionalFormatting>
  <conditionalFormatting sqref="T1:T1048576">
    <cfRule type="cellIs" dxfId="162" priority="129" operator="equal">
      <formula>1</formula>
    </cfRule>
  </conditionalFormatting>
  <conditionalFormatting sqref="L46:L1048576">
    <cfRule type="cellIs" dxfId="161" priority="83" operator="greaterThanOrEqual">
      <formula>$B$12</formula>
    </cfRule>
    <cfRule type="cellIs" dxfId="160" priority="84" operator="between">
      <formula>$B$13</formula>
      <formula>"&lt;$B$12"</formula>
    </cfRule>
    <cfRule type="cellIs" dxfId="159" priority="85" operator="between">
      <formula>0.0001</formula>
      <formula>1.699</formula>
    </cfRule>
  </conditionalFormatting>
  <conditionalFormatting sqref="O46:O1048576">
    <cfRule type="cellIs" dxfId="158" priority="81" operator="between">
      <formula>$B$13</formula>
      <formula>"&lt;$B$12"</formula>
    </cfRule>
    <cfRule type="cellIs" dxfId="157" priority="82" operator="between">
      <formula>0.0001</formula>
      <formula>"&lt;$B$13"</formula>
    </cfRule>
  </conditionalFormatting>
  <conditionalFormatting sqref="O46:O1048576">
    <cfRule type="cellIs" dxfId="156" priority="80" operator="greaterThanOrEqual">
      <formula>$B$12</formula>
    </cfRule>
  </conditionalFormatting>
  <conditionalFormatting sqref="P2:P1048576">
    <cfRule type="containsText" dxfId="155" priority="108" operator="containsText" text="C">
      <formula>NOT(ISERROR(SEARCH("C",P2)))</formula>
    </cfRule>
    <cfRule type="containsText" dxfId="154" priority="109" operator="containsText" text="B">
      <formula>NOT(ISERROR(SEARCH("B",P2)))</formula>
    </cfRule>
    <cfRule type="containsText" dxfId="153" priority="111" operator="containsText" text="A">
      <formula>NOT(ISERROR(SEARCH("A",P2)))</formula>
    </cfRule>
  </conditionalFormatting>
  <conditionalFormatting sqref="L2:L45">
    <cfRule type="cellIs" dxfId="152" priority="30" operator="greaterThanOrEqual">
      <formula>$B$20</formula>
    </cfRule>
    <cfRule type="cellIs" dxfId="151" priority="31" operator="between">
      <formula>$B$21</formula>
      <formula>"&lt;$B$20"</formula>
    </cfRule>
    <cfRule type="cellIs" dxfId="150" priority="32" operator="between">
      <formula>0.0001</formula>
      <formula>"&lt;$B$21"</formula>
    </cfRule>
  </conditionalFormatting>
  <conditionalFormatting sqref="L2:L45">
    <cfRule type="cellIs" dxfId="149" priority="27" operator="greaterThanOrEqual">
      <formula>$B$12</formula>
    </cfRule>
    <cfRule type="cellIs" dxfId="148" priority="28" operator="between">
      <formula>$B$13</formula>
      <formula>"&lt;$B$12"</formula>
    </cfRule>
    <cfRule type="cellIs" dxfId="147" priority="29" operator="between">
      <formula>0.0001</formula>
      <formula>"&lt;$B$13"</formula>
    </cfRule>
  </conditionalFormatting>
  <conditionalFormatting sqref="K2:K45 N2:N44">
    <cfRule type="cellIs" dxfId="146" priority="34" operator="notEqual">
      <formula>OR($K2,0)</formula>
    </cfRule>
  </conditionalFormatting>
  <conditionalFormatting sqref="J2:J45 M2:M45">
    <cfRule type="cellIs" dxfId="145" priority="36" operator="notEqual">
      <formula>OR($J2,0)</formula>
    </cfRule>
  </conditionalFormatting>
  <conditionalFormatting sqref="O2:O43">
    <cfRule type="cellIs" dxfId="144" priority="22" operator="greaterThanOrEqual">
      <formula>$B$20</formula>
    </cfRule>
    <cfRule type="cellIs" dxfId="143" priority="23" operator="between">
      <formula>$B$21</formula>
      <formula>"&lt;$B$20"</formula>
    </cfRule>
    <cfRule type="cellIs" dxfId="142" priority="24" operator="between">
      <formula>0.0001</formula>
      <formula>"&lt;$B$21"</formula>
    </cfRule>
  </conditionalFormatting>
  <conditionalFormatting sqref="O2:O43">
    <cfRule type="cellIs" dxfId="141" priority="19" operator="greaterThanOrEqual">
      <formula>$B$12</formula>
    </cfRule>
    <cfRule type="cellIs" dxfId="140" priority="20" operator="between">
      <formula>$B$13</formula>
      <formula>"&lt;$B$12"</formula>
    </cfRule>
    <cfRule type="cellIs" dxfId="139" priority="21" operator="between">
      <formula>0.0001</formula>
      <formula>"&lt;$B$13"</formula>
    </cfRule>
  </conditionalFormatting>
  <conditionalFormatting sqref="N45">
    <cfRule type="cellIs" dxfId="138" priority="16" operator="greaterThanOrEqual">
      <formula>$B$20</formula>
    </cfRule>
    <cfRule type="cellIs" dxfId="137" priority="17" operator="between">
      <formula>$B$21</formula>
      <formula>"&lt;$B$20"</formula>
    </cfRule>
    <cfRule type="cellIs" dxfId="136" priority="18" operator="between">
      <formula>0.0001</formula>
      <formula>"&lt;$B$21"</formula>
    </cfRule>
  </conditionalFormatting>
  <conditionalFormatting sqref="N45">
    <cfRule type="cellIs" dxfId="135" priority="13" operator="greaterThanOrEqual">
      <formula>$B$12</formula>
    </cfRule>
    <cfRule type="cellIs" dxfId="134" priority="14" operator="between">
      <formula>$B$13</formula>
      <formula>"&lt;$B$12"</formula>
    </cfRule>
    <cfRule type="cellIs" dxfId="133" priority="15" operator="between">
      <formula>0.0001</formula>
      <formula>"&lt;$B$13"</formula>
    </cfRule>
  </conditionalFormatting>
  <conditionalFormatting sqref="O45">
    <cfRule type="cellIs" dxfId="132" priority="10" operator="greaterThanOrEqual">
      <formula>$B$20</formula>
    </cfRule>
    <cfRule type="cellIs" dxfId="131" priority="11" operator="between">
      <formula>$B$21</formula>
      <formula>"&lt;$B$20"</formula>
    </cfRule>
    <cfRule type="cellIs" dxfId="130" priority="12" operator="between">
      <formula>0.0001</formula>
      <formula>"&lt;$B$21"</formula>
    </cfRule>
  </conditionalFormatting>
  <conditionalFormatting sqref="O45">
    <cfRule type="cellIs" dxfId="129" priority="7" operator="greaterThanOrEqual">
      <formula>$B$12</formula>
    </cfRule>
    <cfRule type="cellIs" dxfId="128" priority="8" operator="between">
      <formula>$B$13</formula>
      <formula>"&lt;$B$12"</formula>
    </cfRule>
    <cfRule type="cellIs" dxfId="127" priority="9" operator="between">
      <formula>0.0001</formula>
      <formula>"&lt;$B$13"</formula>
    </cfRule>
  </conditionalFormatting>
  <conditionalFormatting sqref="O44">
    <cfRule type="cellIs" dxfId="126" priority="4" operator="greaterThanOrEqual">
      <formula>$B$20</formula>
    </cfRule>
    <cfRule type="cellIs" dxfId="125" priority="5" operator="between">
      <formula>$B$21</formula>
      <formula>"&lt;$B$20"</formula>
    </cfRule>
    <cfRule type="cellIs" dxfId="124" priority="6" operator="between">
      <formula>0.0001</formula>
      <formula>"&lt;$B$21"</formula>
    </cfRule>
  </conditionalFormatting>
  <conditionalFormatting sqref="O44">
    <cfRule type="cellIs" dxfId="123" priority="1" operator="greaterThanOrEqual">
      <formula>$B$12</formula>
    </cfRule>
    <cfRule type="cellIs" dxfId="122" priority="2" operator="between">
      <formula>$B$13</formula>
      <formula>"&lt;$B$12"</formula>
    </cfRule>
    <cfRule type="cellIs" dxfId="121" priority="3" operator="between">
      <formula>0.0001</formula>
      <formula>"&lt;$B$13"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0" operator="containsText" id="{CFE71F8F-C02B-4465-B4E2-20024CC020ED}">
            <xm:f>NOT(ISERROR(SEARCH($B$1,J46)))</xm:f>
            <xm:f>$B$1</xm:f>
            <x14:dxf>
              <fill>
                <patternFill>
                  <bgColor rgb="FF92D050"/>
                </patternFill>
              </fill>
            </x14:dxf>
          </x14:cfRule>
          <xm:sqref>M46:M1048576 J46:J1048576</xm:sqref>
        </x14:conditionalFormatting>
        <x14:conditionalFormatting xmlns:xm="http://schemas.microsoft.com/office/excel/2006/main">
          <x14:cfRule type="containsText" priority="33" operator="containsText" id="{DABB6578-18B7-493D-B1F2-41CCD64EDD7A}">
            <xm:f>NOT(ISERROR(SEARCH($K2,K2)))</xm:f>
            <xm:f>$K2</xm:f>
            <x14:dxf>
              <fill>
                <patternFill>
                  <bgColor rgb="FF92D050"/>
                </patternFill>
              </fill>
            </x14:dxf>
          </x14:cfRule>
          <xm:sqref>K2:K45 N2:N44</xm:sqref>
        </x14:conditionalFormatting>
        <x14:conditionalFormatting xmlns:xm="http://schemas.microsoft.com/office/excel/2006/main">
          <x14:cfRule type="containsText" priority="35" operator="containsText" id="{2C8E6C19-5F22-4669-B393-7604926E1FA5}">
            <xm:f>NOT(ISERROR(SEARCH($J2,J2)))</xm:f>
            <xm:f>$J2</xm:f>
            <x14:dxf>
              <fill>
                <patternFill>
                  <bgColor rgb="FF92D050"/>
                </patternFill>
              </fill>
            </x14:dxf>
          </x14:cfRule>
          <xm:sqref>J2:J45 M2:M45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B65"/>
  <sheetViews>
    <sheetView zoomScale="80" zoomScaleNormal="80" workbookViewId="0">
      <pane ySplit="1" topLeftCell="A2" activePane="bottomLeft" state="frozen"/>
      <selection pane="bottomLeft" activeCell="B11" sqref="B11"/>
    </sheetView>
  </sheetViews>
  <sheetFormatPr baseColWidth="10" defaultColWidth="11.25" defaultRowHeight="15" customHeight="1" x14ac:dyDescent="0.25"/>
  <cols>
    <col min="1" max="1" width="23.625" style="1" customWidth="1"/>
    <col min="2" max="2" width="20.75" style="1" customWidth="1"/>
    <col min="3" max="3" width="6.125" style="1" customWidth="1"/>
    <col min="4" max="4" width="7.25" style="177" customWidth="1"/>
    <col min="5" max="5" width="7.875" style="177" customWidth="1"/>
    <col min="6" max="6" width="29.375" style="28" customWidth="1"/>
    <col min="7" max="7" width="10" style="28" bestFit="1" customWidth="1"/>
    <col min="8" max="8" width="10.625" style="28" bestFit="1" customWidth="1"/>
    <col min="9" max="9" width="16.375" style="28" customWidth="1"/>
    <col min="10" max="10" width="17.125" style="28" customWidth="1"/>
    <col min="11" max="11" width="15.625" style="28" bestFit="1" customWidth="1"/>
    <col min="12" max="12" width="9.625" style="28" bestFit="1" customWidth="1"/>
    <col min="13" max="13" width="14.875" style="28" customWidth="1"/>
    <col min="14" max="14" width="7.625" style="29" bestFit="1" customWidth="1"/>
    <col min="15" max="15" width="9.625" style="28" bestFit="1" customWidth="1"/>
    <col min="16" max="16" width="11.625" style="28" customWidth="1"/>
    <col min="17" max="17" width="6.875" style="29" customWidth="1"/>
    <col min="18" max="18" width="11.75" style="172" bestFit="1" customWidth="1"/>
    <col min="19" max="19" width="12.875" style="32" customWidth="1"/>
    <col min="20" max="20" width="11.25" style="175" bestFit="1" customWidth="1"/>
    <col min="21" max="21" width="13.375" style="175" customWidth="1"/>
    <col min="22" max="22" width="19.375" style="175" customWidth="1"/>
    <col min="23" max="23" width="23.25" style="175" customWidth="1"/>
    <col min="24" max="25" width="21.75" style="175" bestFit="1" customWidth="1"/>
    <col min="26" max="26" width="20.375" style="175" customWidth="1"/>
    <col min="27" max="28" width="11.25" style="125"/>
    <col min="29" max="16384" width="11.25" style="1"/>
  </cols>
  <sheetData>
    <row r="1" spans="1:28" s="3" customFormat="1" ht="15" customHeight="1" x14ac:dyDescent="0.25">
      <c r="A1" s="4" t="s">
        <v>0</v>
      </c>
      <c r="B1" s="38" t="str">
        <f>'Parameter (Spezies)'!B1&amp;" "&amp;'Parameter (Spezies)'!C1</f>
        <v>Lutjanus argentimaculatus</v>
      </c>
      <c r="C1" s="9"/>
      <c r="D1" s="9" t="s">
        <v>71</v>
      </c>
      <c r="E1" s="9" t="s">
        <v>72</v>
      </c>
      <c r="F1" s="176" t="s">
        <v>1</v>
      </c>
      <c r="G1" s="176" t="s">
        <v>2</v>
      </c>
      <c r="H1" s="176" t="s">
        <v>14</v>
      </c>
      <c r="I1" s="176" t="s">
        <v>13</v>
      </c>
      <c r="J1" s="176" t="s">
        <v>32</v>
      </c>
      <c r="K1" s="176" t="s">
        <v>33</v>
      </c>
      <c r="L1" s="6" t="s">
        <v>15</v>
      </c>
      <c r="M1" s="6" t="s">
        <v>16</v>
      </c>
      <c r="N1" s="6" t="s">
        <v>3</v>
      </c>
      <c r="O1" s="6" t="s">
        <v>15</v>
      </c>
      <c r="P1" s="6" t="s">
        <v>16</v>
      </c>
      <c r="Q1" s="6" t="s">
        <v>3</v>
      </c>
      <c r="R1" s="171" t="s">
        <v>4</v>
      </c>
      <c r="S1" s="173" t="s">
        <v>54</v>
      </c>
      <c r="T1" s="174" t="s">
        <v>43</v>
      </c>
      <c r="U1" s="174" t="s">
        <v>42</v>
      </c>
      <c r="V1" s="174" t="s">
        <v>34</v>
      </c>
      <c r="W1" s="174" t="s">
        <v>35</v>
      </c>
      <c r="X1" s="174" t="s">
        <v>36</v>
      </c>
      <c r="Y1" s="174" t="s">
        <v>37</v>
      </c>
      <c r="Z1" s="174" t="s">
        <v>41</v>
      </c>
      <c r="AA1" s="174" t="s">
        <v>78</v>
      </c>
      <c r="AB1" s="178"/>
    </row>
    <row r="2" spans="1:28" ht="15" customHeight="1" x14ac:dyDescent="0.25">
      <c r="D2" s="170">
        <v>1</v>
      </c>
      <c r="E2" s="170">
        <f>D2*T2</f>
        <v>1</v>
      </c>
      <c r="F2" s="28" t="s">
        <v>142</v>
      </c>
      <c r="G2" s="28" t="s">
        <v>99</v>
      </c>
      <c r="H2" s="28" t="s">
        <v>138</v>
      </c>
      <c r="I2" s="190">
        <v>43756</v>
      </c>
      <c r="J2" s="28" t="s">
        <v>140</v>
      </c>
      <c r="K2" s="28" t="s">
        <v>141</v>
      </c>
      <c r="L2" s="28" t="s">
        <v>140</v>
      </c>
      <c r="M2" s="28" t="s">
        <v>141</v>
      </c>
      <c r="N2" s="29">
        <v>2.36</v>
      </c>
      <c r="O2" s="28" t="s">
        <v>140</v>
      </c>
      <c r="P2" s="28" t="s">
        <v>141</v>
      </c>
      <c r="Q2" s="29">
        <v>2.23</v>
      </c>
      <c r="R2" s="172" t="str">
        <f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2" s="175">
        <f t="shared" ref="S2" si="0">1-U2+Z2</f>
        <v>1</v>
      </c>
      <c r="T2" s="175">
        <f>IF(AND(L2=J2,M2=K2,N2&gt;=$B$20,R2="A"),1,0)</f>
        <v>1</v>
      </c>
      <c r="U2" s="175">
        <f>IF(T2=1,0,1)</f>
        <v>0</v>
      </c>
      <c r="V2" s="179" t="str">
        <f t="shared" ref="V2" si="1">L2&amp;" "&amp;M2</f>
        <v>Lutjanus  bohar</v>
      </c>
      <c r="W2" s="179" t="str">
        <f t="shared" ref="W2" si="2">O2&amp;" "&amp;P2</f>
        <v>Lutjanus  bohar</v>
      </c>
      <c r="X2" s="175">
        <f>IF(AND(V2=$B$1,N2&gt;=$B$20),1,0)</f>
        <v>0</v>
      </c>
      <c r="Y2" s="175">
        <f>IF(AND(W2=$B$1,Q2&gt;=$B$20),1,0)</f>
        <v>0</v>
      </c>
      <c r="Z2" s="175">
        <f>IF(AND(V2=$B$1,N2&gt;=$B$20,R2="A"),1,0)</f>
        <v>0</v>
      </c>
      <c r="AA2" s="175">
        <f>IF(1-(X2+Y2)&gt;0,0,1)</f>
        <v>0</v>
      </c>
    </row>
    <row r="3" spans="1:28" ht="15" customHeight="1" x14ac:dyDescent="0.25">
      <c r="A3" s="5" t="s">
        <v>7</v>
      </c>
      <c r="B3" s="129">
        <f>COUNT(S:S)</f>
        <v>64</v>
      </c>
      <c r="D3" s="170">
        <v>1</v>
      </c>
      <c r="E3" s="170">
        <f t="shared" ref="E3:E23" si="3">D3*S3</f>
        <v>1</v>
      </c>
      <c r="F3" s="28" t="s">
        <v>143</v>
      </c>
      <c r="G3" s="28" t="s">
        <v>99</v>
      </c>
      <c r="H3" s="28" t="s">
        <v>138</v>
      </c>
      <c r="I3" s="190">
        <v>43756</v>
      </c>
      <c r="J3" s="28" t="s">
        <v>140</v>
      </c>
      <c r="K3" s="28" t="s">
        <v>141</v>
      </c>
      <c r="L3" s="28" t="s">
        <v>140</v>
      </c>
      <c r="M3" s="28" t="s">
        <v>141</v>
      </c>
      <c r="N3" s="29">
        <v>2.34</v>
      </c>
      <c r="O3" s="28" t="s">
        <v>140</v>
      </c>
      <c r="P3" s="28" t="s">
        <v>141</v>
      </c>
      <c r="Q3" s="29">
        <v>2.23</v>
      </c>
      <c r="R3" s="172" t="str">
        <f t="shared" ref="R3:R58" si="4">IF(OR(AND(N2&gt;=$B$20,Q2&lt;$B$21),AND(L2=O2,M2=P2,N2&gt;=$B$20,Q2&gt;=$B$20),AND(L2=O2,N2&gt;=$B$20,Q2&lt;2,Q2&gt;=$B$21)),"A",IF(OR(AND(N2&lt;$B$20,Q2&lt;$B$21),AND(L2=O2,OR(M2&lt;&gt;P2,M2=P2),N2&gt;=$B$21,Q2&gt;=$B$21)),"B",
IF(AND(L2&lt;&gt;O2,N2&gt;=$B$21,Q2&gt;=$B$21),"C",0)))</f>
        <v>A</v>
      </c>
      <c r="S3" s="175">
        <f t="shared" ref="S3:S58" si="5">1-U3+Z3</f>
        <v>1</v>
      </c>
      <c r="T3" s="175">
        <f t="shared" ref="T3:T58" si="6">IF(AND(L3=J3,M3=K3,N3&gt;=$B$20,R3="A"),1,0)</f>
        <v>1</v>
      </c>
      <c r="U3" s="175">
        <f t="shared" ref="U3:U58" si="7">IF(T3=1,0,1)</f>
        <v>0</v>
      </c>
      <c r="V3" s="179" t="str">
        <f t="shared" ref="V3:V58" si="8">L3&amp;" "&amp;M3</f>
        <v>Lutjanus  bohar</v>
      </c>
      <c r="W3" s="179" t="str">
        <f t="shared" ref="W3:W58" si="9">O3&amp;" "&amp;P3</f>
        <v>Lutjanus  bohar</v>
      </c>
      <c r="X3" s="175">
        <f t="shared" ref="X3:X58" si="10">IF(AND(V3=$B$1,N3&gt;=$B$20),1,0)</f>
        <v>0</v>
      </c>
      <c r="Y3" s="175">
        <f t="shared" ref="Y3:Y58" si="11">IF(AND(W3=$B$1,Q3&gt;=$B$20),1,0)</f>
        <v>0</v>
      </c>
      <c r="Z3" s="175">
        <f t="shared" ref="Z3:Z58" si="12">IF(AND(V3=$B$1,N3&gt;=$B$20,R3="A"),1,0)</f>
        <v>0</v>
      </c>
      <c r="AA3" s="175">
        <f t="shared" ref="AA3:AA58" si="13">IF(1-(X3+Y3)&gt;0,0,1)</f>
        <v>0</v>
      </c>
    </row>
    <row r="4" spans="1:28" ht="15" customHeight="1" x14ac:dyDescent="0.25">
      <c r="A4" s="119" t="s">
        <v>55</v>
      </c>
      <c r="B4" s="124">
        <f>SUM(S:S)</f>
        <v>64</v>
      </c>
      <c r="C4" s="43"/>
      <c r="D4" s="170">
        <v>1</v>
      </c>
      <c r="E4" s="170">
        <f t="shared" si="3"/>
        <v>1</v>
      </c>
      <c r="F4" s="28" t="s">
        <v>144</v>
      </c>
      <c r="G4" s="28" t="s">
        <v>99</v>
      </c>
      <c r="H4" s="28" t="s">
        <v>138</v>
      </c>
      <c r="I4" s="190">
        <v>44281</v>
      </c>
      <c r="J4" s="28" t="s">
        <v>140</v>
      </c>
      <c r="K4" s="28" t="s">
        <v>141</v>
      </c>
      <c r="L4" s="28" t="s">
        <v>140</v>
      </c>
      <c r="M4" s="28" t="s">
        <v>141</v>
      </c>
      <c r="N4" s="29">
        <v>2.41</v>
      </c>
      <c r="O4" s="28" t="s">
        <v>140</v>
      </c>
      <c r="P4" s="28" t="s">
        <v>141</v>
      </c>
      <c r="Q4" s="29">
        <v>2.2999999999999998</v>
      </c>
      <c r="R4" s="172" t="str">
        <f t="shared" si="4"/>
        <v>A</v>
      </c>
      <c r="S4" s="175">
        <f t="shared" si="5"/>
        <v>1</v>
      </c>
      <c r="T4" s="175">
        <f t="shared" si="6"/>
        <v>1</v>
      </c>
      <c r="U4" s="175">
        <f t="shared" si="7"/>
        <v>0</v>
      </c>
      <c r="V4" s="179" t="str">
        <f t="shared" si="8"/>
        <v>Lutjanus  bohar</v>
      </c>
      <c r="W4" s="179" t="str">
        <f t="shared" si="9"/>
        <v>Lutjanus  bohar</v>
      </c>
      <c r="X4" s="175">
        <f t="shared" si="10"/>
        <v>0</v>
      </c>
      <c r="Y4" s="175">
        <f t="shared" si="11"/>
        <v>0</v>
      </c>
      <c r="Z4" s="175">
        <f t="shared" si="12"/>
        <v>0</v>
      </c>
      <c r="AA4" s="175">
        <f t="shared" si="13"/>
        <v>0</v>
      </c>
    </row>
    <row r="5" spans="1:28" ht="15" customHeight="1" x14ac:dyDescent="0.25">
      <c r="A5" s="1" t="s">
        <v>76</v>
      </c>
      <c r="D5" s="170">
        <v>1</v>
      </c>
      <c r="E5" s="170">
        <f t="shared" si="3"/>
        <v>1</v>
      </c>
      <c r="F5" s="28" t="s">
        <v>145</v>
      </c>
      <c r="G5" s="28" t="s">
        <v>99</v>
      </c>
      <c r="H5" s="28" t="s">
        <v>138</v>
      </c>
      <c r="I5" s="190">
        <v>44240</v>
      </c>
      <c r="J5" s="28" t="s">
        <v>140</v>
      </c>
      <c r="K5" s="28" t="s">
        <v>141</v>
      </c>
      <c r="L5" s="28" t="s">
        <v>140</v>
      </c>
      <c r="M5" s="28" t="s">
        <v>141</v>
      </c>
      <c r="N5" s="29">
        <v>2.11</v>
      </c>
      <c r="O5" s="28" t="s">
        <v>140</v>
      </c>
      <c r="P5" s="28" t="s">
        <v>141</v>
      </c>
      <c r="Q5" s="29">
        <v>2.11</v>
      </c>
      <c r="R5" s="172" t="str">
        <f t="shared" si="4"/>
        <v>A</v>
      </c>
      <c r="S5" s="175">
        <f t="shared" si="5"/>
        <v>1</v>
      </c>
      <c r="T5" s="175">
        <f t="shared" si="6"/>
        <v>1</v>
      </c>
      <c r="U5" s="175">
        <f t="shared" si="7"/>
        <v>0</v>
      </c>
      <c r="V5" s="179" t="str">
        <f t="shared" si="8"/>
        <v>Lutjanus  bohar</v>
      </c>
      <c r="W5" s="179" t="str">
        <f t="shared" si="9"/>
        <v>Lutjanus  bohar</v>
      </c>
      <c r="X5" s="175">
        <f t="shared" si="10"/>
        <v>0</v>
      </c>
      <c r="Y5" s="175">
        <f t="shared" si="11"/>
        <v>0</v>
      </c>
      <c r="Z5" s="175">
        <f t="shared" si="12"/>
        <v>0</v>
      </c>
      <c r="AA5" s="175">
        <f t="shared" si="13"/>
        <v>0</v>
      </c>
    </row>
    <row r="6" spans="1:28" ht="15" customHeight="1" x14ac:dyDescent="0.25">
      <c r="A6" s="7" t="s">
        <v>43</v>
      </c>
      <c r="B6" s="126">
        <f>SUM(T:T)</f>
        <v>64</v>
      </c>
      <c r="D6" s="170">
        <v>1</v>
      </c>
      <c r="E6" s="170">
        <f t="shared" si="3"/>
        <v>1</v>
      </c>
      <c r="F6" s="28" t="s">
        <v>146</v>
      </c>
      <c r="G6" s="28" t="s">
        <v>99</v>
      </c>
      <c r="H6" s="28" t="s">
        <v>138</v>
      </c>
      <c r="I6" s="190">
        <v>44239</v>
      </c>
      <c r="J6" s="28" t="s">
        <v>140</v>
      </c>
      <c r="K6" s="28" t="s">
        <v>141</v>
      </c>
      <c r="L6" s="198" t="s">
        <v>140</v>
      </c>
      <c r="M6" s="198" t="s">
        <v>141</v>
      </c>
      <c r="N6" s="199">
        <v>2.2999999999999998</v>
      </c>
      <c r="O6" s="198" t="s">
        <v>140</v>
      </c>
      <c r="P6" s="198" t="s">
        <v>141</v>
      </c>
      <c r="Q6" s="29">
        <v>2.14</v>
      </c>
      <c r="R6" s="172" t="str">
        <f t="shared" si="4"/>
        <v>A</v>
      </c>
      <c r="S6" s="175">
        <f t="shared" si="5"/>
        <v>1</v>
      </c>
      <c r="T6" s="175">
        <f t="shared" si="6"/>
        <v>1</v>
      </c>
      <c r="U6" s="175">
        <f t="shared" si="7"/>
        <v>0</v>
      </c>
      <c r="V6" s="179" t="str">
        <f t="shared" si="8"/>
        <v>Lutjanus  bohar</v>
      </c>
      <c r="W6" s="179" t="str">
        <f t="shared" si="9"/>
        <v>Lutjanus  bohar</v>
      </c>
      <c r="X6" s="175">
        <f t="shared" si="10"/>
        <v>0</v>
      </c>
      <c r="Y6" s="175">
        <f t="shared" si="11"/>
        <v>0</v>
      </c>
      <c r="Z6" s="175">
        <f t="shared" si="12"/>
        <v>0</v>
      </c>
      <c r="AA6" s="175">
        <f t="shared" si="13"/>
        <v>0</v>
      </c>
    </row>
    <row r="7" spans="1:28" ht="15" customHeight="1" x14ac:dyDescent="0.25">
      <c r="A7" s="242" t="s">
        <v>41</v>
      </c>
      <c r="B7" s="121">
        <f>SUM(Z:Z)</f>
        <v>0</v>
      </c>
      <c r="D7" s="170">
        <v>1</v>
      </c>
      <c r="E7" s="170">
        <f t="shared" si="3"/>
        <v>1</v>
      </c>
      <c r="F7" s="28" t="s">
        <v>147</v>
      </c>
      <c r="G7" s="28" t="s">
        <v>99</v>
      </c>
      <c r="H7" s="28" t="s">
        <v>138</v>
      </c>
      <c r="I7" s="190">
        <v>43755</v>
      </c>
      <c r="J7" s="28" t="s">
        <v>140</v>
      </c>
      <c r="K7" s="28" t="s">
        <v>141</v>
      </c>
      <c r="L7" s="198" t="s">
        <v>140</v>
      </c>
      <c r="M7" s="198" t="s">
        <v>141</v>
      </c>
      <c r="N7" s="199">
        <v>2.23</v>
      </c>
      <c r="O7" s="198" t="s">
        <v>140</v>
      </c>
      <c r="P7" s="198" t="s">
        <v>141</v>
      </c>
      <c r="Q7" s="29">
        <v>2.17</v>
      </c>
      <c r="R7" s="172" t="str">
        <f t="shared" si="4"/>
        <v>A</v>
      </c>
      <c r="S7" s="175">
        <f t="shared" si="5"/>
        <v>1</v>
      </c>
      <c r="T7" s="175">
        <f t="shared" si="6"/>
        <v>1</v>
      </c>
      <c r="U7" s="175">
        <f t="shared" si="7"/>
        <v>0</v>
      </c>
      <c r="V7" s="179" t="str">
        <f t="shared" si="8"/>
        <v>Lutjanus  bohar</v>
      </c>
      <c r="W7" s="179" t="str">
        <f t="shared" si="9"/>
        <v>Lutjanus  bohar</v>
      </c>
      <c r="X7" s="175">
        <f t="shared" si="10"/>
        <v>0</v>
      </c>
      <c r="Y7" s="175">
        <f t="shared" si="11"/>
        <v>0</v>
      </c>
      <c r="Z7" s="175">
        <f t="shared" si="12"/>
        <v>0</v>
      </c>
      <c r="AA7" s="175">
        <f t="shared" si="13"/>
        <v>0</v>
      </c>
    </row>
    <row r="8" spans="1:28" ht="15" customHeight="1" x14ac:dyDescent="0.25">
      <c r="A8" s="243"/>
      <c r="B8" s="122"/>
      <c r="D8" s="170">
        <v>1</v>
      </c>
      <c r="E8" s="170">
        <f t="shared" si="3"/>
        <v>1</v>
      </c>
      <c r="F8" s="28" t="s">
        <v>148</v>
      </c>
      <c r="G8" s="28" t="s">
        <v>99</v>
      </c>
      <c r="H8" s="28" t="s">
        <v>138</v>
      </c>
      <c r="I8" s="190">
        <v>44030</v>
      </c>
      <c r="J8" s="28" t="s">
        <v>140</v>
      </c>
      <c r="K8" s="28" t="s">
        <v>141</v>
      </c>
      <c r="L8" s="28" t="s">
        <v>140</v>
      </c>
      <c r="M8" s="28" t="s">
        <v>141</v>
      </c>
      <c r="N8" s="199">
        <v>2.23</v>
      </c>
      <c r="O8" s="28" t="s">
        <v>140</v>
      </c>
      <c r="P8" s="28" t="s">
        <v>141</v>
      </c>
      <c r="Q8" s="29">
        <v>2.17</v>
      </c>
      <c r="R8" s="172" t="str">
        <f t="shared" ref="R8" si="14">IF(OR(AND(N7&gt;=$B$20,Q7&lt;$B$21),AND(L7=O7,M7=P7,N7&gt;=$B$20,Q7&gt;=$B$20),AND(L7=O7,N7&gt;=$B$20,Q7&lt;2,Q7&gt;=$B$21)),"A",IF(OR(AND(N7&lt;$B$20,Q7&lt;$B$21),AND(L7=O7,OR(M7&lt;&gt;P7,M7=P7),N7&gt;=$B$21,Q7&gt;=$B$21)),"B",
IF(AND(L7&lt;&gt;O7,N7&gt;=$B$21,Q7&gt;=$B$21),"C",0)))</f>
        <v>A</v>
      </c>
      <c r="S8" s="175">
        <f t="shared" si="5"/>
        <v>1</v>
      </c>
      <c r="T8" s="175">
        <f t="shared" si="6"/>
        <v>1</v>
      </c>
      <c r="U8" s="175">
        <f t="shared" si="7"/>
        <v>0</v>
      </c>
      <c r="V8" s="179" t="str">
        <f t="shared" si="8"/>
        <v>Lutjanus  bohar</v>
      </c>
      <c r="W8" s="179" t="str">
        <f t="shared" si="9"/>
        <v>Lutjanus  bohar</v>
      </c>
      <c r="X8" s="175">
        <f t="shared" si="10"/>
        <v>0</v>
      </c>
      <c r="Y8" s="175">
        <f t="shared" si="11"/>
        <v>0</v>
      </c>
      <c r="Z8" s="175">
        <f t="shared" si="12"/>
        <v>0</v>
      </c>
      <c r="AA8" s="175">
        <f t="shared" si="13"/>
        <v>0</v>
      </c>
    </row>
    <row r="9" spans="1:28" ht="15" customHeight="1" x14ac:dyDescent="0.25">
      <c r="D9" s="170">
        <v>1</v>
      </c>
      <c r="E9" s="170">
        <f t="shared" si="3"/>
        <v>1</v>
      </c>
      <c r="F9" s="28" t="s">
        <v>150</v>
      </c>
      <c r="G9" s="28" t="s">
        <v>99</v>
      </c>
      <c r="H9" s="28" t="s">
        <v>138</v>
      </c>
      <c r="I9" s="190">
        <v>44224</v>
      </c>
      <c r="J9" s="28" t="s">
        <v>140</v>
      </c>
      <c r="K9" s="28" t="s">
        <v>149</v>
      </c>
      <c r="L9" s="28" t="s">
        <v>140</v>
      </c>
      <c r="M9" s="28" t="s">
        <v>149</v>
      </c>
      <c r="N9" s="199">
        <v>2.33</v>
      </c>
      <c r="O9" s="28" t="s">
        <v>140</v>
      </c>
      <c r="P9" s="28" t="s">
        <v>149</v>
      </c>
      <c r="Q9" s="29">
        <v>2.04</v>
      </c>
      <c r="R9" s="172" t="str">
        <f t="shared" si="4"/>
        <v>A</v>
      </c>
      <c r="S9" s="175">
        <f t="shared" si="5"/>
        <v>1</v>
      </c>
      <c r="T9" s="175">
        <f t="shared" si="6"/>
        <v>1</v>
      </c>
      <c r="U9" s="175">
        <f t="shared" si="7"/>
        <v>0</v>
      </c>
      <c r="V9" s="179" t="str">
        <f t="shared" si="8"/>
        <v>Lutjanus  erythropterus</v>
      </c>
      <c r="W9" s="179" t="str">
        <f t="shared" si="9"/>
        <v>Lutjanus  erythropterus</v>
      </c>
      <c r="X9" s="175">
        <f t="shared" si="10"/>
        <v>0</v>
      </c>
      <c r="Y9" s="175">
        <f t="shared" si="11"/>
        <v>0</v>
      </c>
      <c r="Z9" s="175">
        <f t="shared" si="12"/>
        <v>0</v>
      </c>
      <c r="AA9" s="175">
        <f t="shared" si="13"/>
        <v>0</v>
      </c>
    </row>
    <row r="10" spans="1:28" ht="15" customHeight="1" x14ac:dyDescent="0.25">
      <c r="D10" s="170">
        <v>1</v>
      </c>
      <c r="E10" s="170">
        <f t="shared" si="3"/>
        <v>1</v>
      </c>
      <c r="F10" s="28" t="s">
        <v>152</v>
      </c>
      <c r="G10" s="28" t="s">
        <v>99</v>
      </c>
      <c r="H10" s="28" t="s">
        <v>138</v>
      </c>
      <c r="I10" s="190">
        <v>44027</v>
      </c>
      <c r="J10" s="28" t="s">
        <v>140</v>
      </c>
      <c r="K10" s="28" t="s">
        <v>151</v>
      </c>
      <c r="L10" s="198" t="s">
        <v>140</v>
      </c>
      <c r="M10" s="198" t="s">
        <v>151</v>
      </c>
      <c r="N10" s="199">
        <v>2.19</v>
      </c>
      <c r="O10" s="198" t="s">
        <v>140</v>
      </c>
      <c r="P10" s="198" t="s">
        <v>151</v>
      </c>
      <c r="Q10" s="29">
        <v>2.0099999999999998</v>
      </c>
      <c r="R10" s="172" t="str">
        <f t="shared" si="4"/>
        <v>A</v>
      </c>
      <c r="S10" s="175">
        <f t="shared" si="5"/>
        <v>1</v>
      </c>
      <c r="T10" s="175">
        <f t="shared" si="6"/>
        <v>1</v>
      </c>
      <c r="U10" s="175">
        <f t="shared" si="7"/>
        <v>0</v>
      </c>
      <c r="V10" s="179" t="str">
        <f t="shared" si="8"/>
        <v>Lutjanus  goreensis</v>
      </c>
      <c r="W10" s="179" t="str">
        <f t="shared" si="9"/>
        <v>Lutjanus  goreensis</v>
      </c>
      <c r="X10" s="175">
        <f t="shared" si="10"/>
        <v>0</v>
      </c>
      <c r="Y10" s="175">
        <f t="shared" si="11"/>
        <v>0</v>
      </c>
      <c r="Z10" s="175">
        <f t="shared" si="12"/>
        <v>0</v>
      </c>
      <c r="AA10" s="175">
        <f t="shared" si="13"/>
        <v>0</v>
      </c>
    </row>
    <row r="11" spans="1:28" ht="15" customHeight="1" x14ac:dyDescent="0.25">
      <c r="D11" s="170">
        <v>1</v>
      </c>
      <c r="E11" s="170">
        <f t="shared" si="3"/>
        <v>1</v>
      </c>
      <c r="F11" s="28" t="s">
        <v>153</v>
      </c>
      <c r="G11" s="28" t="s">
        <v>99</v>
      </c>
      <c r="H11" s="28" t="s">
        <v>138</v>
      </c>
      <c r="I11" s="190">
        <v>44294</v>
      </c>
      <c r="J11" s="28" t="s">
        <v>140</v>
      </c>
      <c r="K11" s="28" t="s">
        <v>151</v>
      </c>
      <c r="L11" s="198" t="s">
        <v>140</v>
      </c>
      <c r="M11" s="198" t="s">
        <v>151</v>
      </c>
      <c r="N11" s="199">
        <v>2.48</v>
      </c>
      <c r="O11" s="198" t="s">
        <v>140</v>
      </c>
      <c r="P11" s="198" t="s">
        <v>151</v>
      </c>
      <c r="Q11" s="29">
        <v>2.44</v>
      </c>
      <c r="R11" s="172" t="str">
        <f t="shared" si="4"/>
        <v>A</v>
      </c>
      <c r="S11" s="175">
        <f t="shared" si="5"/>
        <v>1</v>
      </c>
      <c r="T11" s="175">
        <f t="shared" si="6"/>
        <v>1</v>
      </c>
      <c r="U11" s="175">
        <f t="shared" si="7"/>
        <v>0</v>
      </c>
      <c r="V11" s="179" t="str">
        <f t="shared" si="8"/>
        <v>Lutjanus  goreensis</v>
      </c>
      <c r="W11" s="179" t="str">
        <f t="shared" si="9"/>
        <v>Lutjanus  goreensis</v>
      </c>
      <c r="X11" s="175">
        <f t="shared" si="10"/>
        <v>0</v>
      </c>
      <c r="Y11" s="175">
        <f t="shared" si="11"/>
        <v>0</v>
      </c>
      <c r="Z11" s="175">
        <f t="shared" si="12"/>
        <v>0</v>
      </c>
      <c r="AA11" s="175">
        <f t="shared" si="13"/>
        <v>0</v>
      </c>
    </row>
    <row r="12" spans="1:28" ht="15" customHeight="1" x14ac:dyDescent="0.25">
      <c r="A12" s="34" t="s">
        <v>38</v>
      </c>
      <c r="B12" s="35"/>
      <c r="D12" s="170">
        <v>1</v>
      </c>
      <c r="E12" s="170">
        <f t="shared" si="3"/>
        <v>1</v>
      </c>
      <c r="F12" s="28" t="s">
        <v>154</v>
      </c>
      <c r="G12" s="28" t="s">
        <v>99</v>
      </c>
      <c r="H12" s="28" t="s">
        <v>138</v>
      </c>
      <c r="I12" s="190">
        <v>44037</v>
      </c>
      <c r="J12" s="28" t="s">
        <v>140</v>
      </c>
      <c r="K12" s="28" t="s">
        <v>151</v>
      </c>
      <c r="L12" s="28" t="s">
        <v>140</v>
      </c>
      <c r="M12" s="28" t="s">
        <v>151</v>
      </c>
      <c r="N12" s="199">
        <v>2.52</v>
      </c>
      <c r="O12" s="28" t="s">
        <v>140</v>
      </c>
      <c r="P12" s="28" t="s">
        <v>151</v>
      </c>
      <c r="Q12" s="29">
        <v>2.13</v>
      </c>
      <c r="R12" s="172" t="str">
        <f t="shared" si="4"/>
        <v>A</v>
      </c>
      <c r="S12" s="175">
        <f t="shared" si="5"/>
        <v>1</v>
      </c>
      <c r="T12" s="175">
        <f t="shared" si="6"/>
        <v>1</v>
      </c>
      <c r="U12" s="175">
        <f t="shared" si="7"/>
        <v>0</v>
      </c>
      <c r="V12" s="179" t="str">
        <f t="shared" si="8"/>
        <v>Lutjanus  goreensis</v>
      </c>
      <c r="W12" s="179" t="str">
        <f t="shared" si="9"/>
        <v>Lutjanus  goreensis</v>
      </c>
      <c r="X12" s="175">
        <f t="shared" si="10"/>
        <v>0</v>
      </c>
      <c r="Y12" s="175">
        <f t="shared" si="11"/>
        <v>0</v>
      </c>
      <c r="Z12" s="175">
        <f t="shared" si="12"/>
        <v>0</v>
      </c>
      <c r="AA12" s="175">
        <f t="shared" si="13"/>
        <v>0</v>
      </c>
    </row>
    <row r="13" spans="1:28" ht="15" customHeight="1" x14ac:dyDescent="0.25">
      <c r="A13" s="36"/>
      <c r="B13" s="37"/>
      <c r="D13" s="170">
        <v>1</v>
      </c>
      <c r="E13" s="170">
        <f t="shared" si="3"/>
        <v>1</v>
      </c>
      <c r="F13" s="28" t="s">
        <v>156</v>
      </c>
      <c r="G13" s="28" t="s">
        <v>99</v>
      </c>
      <c r="H13" s="28" t="s">
        <v>138</v>
      </c>
      <c r="I13" s="190">
        <v>43756</v>
      </c>
      <c r="J13" s="28" t="s">
        <v>140</v>
      </c>
      <c r="K13" s="28" t="s">
        <v>155</v>
      </c>
      <c r="L13" s="198" t="s">
        <v>140</v>
      </c>
      <c r="M13" s="198" t="s">
        <v>155</v>
      </c>
      <c r="N13" s="199">
        <v>2.09</v>
      </c>
      <c r="O13" s="198" t="s">
        <v>140</v>
      </c>
      <c r="P13" s="198" t="s">
        <v>155</v>
      </c>
      <c r="Q13" s="29">
        <v>2.06</v>
      </c>
      <c r="R13" s="172" t="str">
        <f t="shared" si="4"/>
        <v>A</v>
      </c>
      <c r="S13" s="175">
        <f t="shared" si="5"/>
        <v>1</v>
      </c>
      <c r="T13" s="175">
        <f t="shared" si="6"/>
        <v>1</v>
      </c>
      <c r="U13" s="175">
        <f t="shared" si="7"/>
        <v>0</v>
      </c>
      <c r="V13" s="179" t="str">
        <f t="shared" si="8"/>
        <v>Lutjanus  lemniscatus</v>
      </c>
      <c r="W13" s="179" t="str">
        <f t="shared" si="9"/>
        <v>Lutjanus  lemniscatus</v>
      </c>
      <c r="X13" s="175">
        <f t="shared" si="10"/>
        <v>0</v>
      </c>
      <c r="Y13" s="175">
        <f t="shared" si="11"/>
        <v>0</v>
      </c>
      <c r="Z13" s="175">
        <f t="shared" si="12"/>
        <v>0</v>
      </c>
      <c r="AA13" s="175">
        <f t="shared" si="13"/>
        <v>0</v>
      </c>
    </row>
    <row r="14" spans="1:28" ht="15" customHeight="1" x14ac:dyDescent="0.25">
      <c r="A14" s="39" t="str">
        <f>X1</f>
        <v>1. Hit Treffer Parameter</v>
      </c>
      <c r="B14" s="130">
        <f>SUM(X:X)</f>
        <v>0</v>
      </c>
      <c r="D14" s="170">
        <v>1</v>
      </c>
      <c r="E14" s="170">
        <f t="shared" si="3"/>
        <v>1</v>
      </c>
      <c r="F14" s="28" t="s">
        <v>157</v>
      </c>
      <c r="G14" s="28" t="s">
        <v>99</v>
      </c>
      <c r="H14" s="28" t="s">
        <v>138</v>
      </c>
      <c r="I14" s="190">
        <v>43756</v>
      </c>
      <c r="J14" s="28" t="s">
        <v>140</v>
      </c>
      <c r="K14" s="28" t="s">
        <v>155</v>
      </c>
      <c r="L14" s="198" t="s">
        <v>140</v>
      </c>
      <c r="M14" s="198" t="s">
        <v>155</v>
      </c>
      <c r="N14" s="199">
        <v>2.17</v>
      </c>
      <c r="O14" s="198" t="s">
        <v>140</v>
      </c>
      <c r="P14" s="198" t="s">
        <v>155</v>
      </c>
      <c r="Q14" s="29">
        <v>2.15</v>
      </c>
      <c r="R14" s="172" t="str">
        <f t="shared" si="4"/>
        <v>A</v>
      </c>
      <c r="S14" s="175">
        <f t="shared" si="5"/>
        <v>1</v>
      </c>
      <c r="T14" s="175">
        <f t="shared" si="6"/>
        <v>1</v>
      </c>
      <c r="U14" s="175">
        <f t="shared" si="7"/>
        <v>0</v>
      </c>
      <c r="V14" s="179" t="str">
        <f t="shared" si="8"/>
        <v>Lutjanus  lemniscatus</v>
      </c>
      <c r="W14" s="179" t="str">
        <f t="shared" si="9"/>
        <v>Lutjanus  lemniscatus</v>
      </c>
      <c r="X14" s="175">
        <f t="shared" si="10"/>
        <v>0</v>
      </c>
      <c r="Y14" s="175">
        <f t="shared" si="11"/>
        <v>0</v>
      </c>
      <c r="Z14" s="175">
        <f t="shared" si="12"/>
        <v>0</v>
      </c>
      <c r="AA14" s="175">
        <f t="shared" si="13"/>
        <v>0</v>
      </c>
    </row>
    <row r="15" spans="1:28" ht="15" customHeight="1" x14ac:dyDescent="0.25">
      <c r="A15" s="40" t="str">
        <f>Y1</f>
        <v>2. Hit Treffer Parameter</v>
      </c>
      <c r="B15" s="131">
        <f>SUM(Y:Y)</f>
        <v>0</v>
      </c>
      <c r="D15" s="170">
        <v>1</v>
      </c>
      <c r="E15" s="170">
        <f t="shared" si="3"/>
        <v>1</v>
      </c>
      <c r="F15" s="28" t="s">
        <v>158</v>
      </c>
      <c r="G15" s="28" t="s">
        <v>99</v>
      </c>
      <c r="H15" s="28" t="s">
        <v>138</v>
      </c>
      <c r="I15" s="190">
        <v>43756</v>
      </c>
      <c r="J15" s="28" t="s">
        <v>140</v>
      </c>
      <c r="K15" s="28" t="s">
        <v>155</v>
      </c>
      <c r="L15" s="198" t="s">
        <v>140</v>
      </c>
      <c r="M15" s="198" t="s">
        <v>155</v>
      </c>
      <c r="N15" s="199">
        <v>2.2799999999999998</v>
      </c>
      <c r="O15" s="198" t="s">
        <v>140</v>
      </c>
      <c r="P15" s="198" t="s">
        <v>155</v>
      </c>
      <c r="Q15" s="29">
        <v>2.2599999999999998</v>
      </c>
      <c r="R15" s="172" t="str">
        <f t="shared" si="4"/>
        <v>A</v>
      </c>
      <c r="S15" s="175">
        <f t="shared" si="5"/>
        <v>1</v>
      </c>
      <c r="T15" s="175">
        <f t="shared" si="6"/>
        <v>1</v>
      </c>
      <c r="U15" s="175">
        <f t="shared" si="7"/>
        <v>0</v>
      </c>
      <c r="V15" s="179" t="str">
        <f t="shared" si="8"/>
        <v>Lutjanus  lemniscatus</v>
      </c>
      <c r="W15" s="179" t="str">
        <f t="shared" si="9"/>
        <v>Lutjanus  lemniscatus</v>
      </c>
      <c r="X15" s="175">
        <f t="shared" si="10"/>
        <v>0</v>
      </c>
      <c r="Y15" s="175">
        <f t="shared" si="11"/>
        <v>0</v>
      </c>
      <c r="Z15" s="175">
        <f t="shared" si="12"/>
        <v>0</v>
      </c>
      <c r="AA15" s="175">
        <f t="shared" si="13"/>
        <v>0</v>
      </c>
    </row>
    <row r="16" spans="1:28" ht="15" customHeight="1" x14ac:dyDescent="0.25">
      <c r="A16" s="132" t="s">
        <v>78</v>
      </c>
      <c r="B16" s="133">
        <f>SUM(AA:AA)</f>
        <v>0</v>
      </c>
      <c r="D16" s="170">
        <v>1</v>
      </c>
      <c r="E16" s="170">
        <f t="shared" si="3"/>
        <v>1</v>
      </c>
      <c r="F16" s="28" t="s">
        <v>159</v>
      </c>
      <c r="G16" s="28" t="s">
        <v>99</v>
      </c>
      <c r="H16" s="28" t="s">
        <v>138</v>
      </c>
      <c r="I16" s="190">
        <v>43756</v>
      </c>
      <c r="J16" s="28" t="s">
        <v>140</v>
      </c>
      <c r="K16" s="28" t="s">
        <v>155</v>
      </c>
      <c r="L16" s="198" t="s">
        <v>140</v>
      </c>
      <c r="M16" s="198" t="s">
        <v>155</v>
      </c>
      <c r="N16" s="199">
        <v>2.33</v>
      </c>
      <c r="O16" s="198" t="s">
        <v>140</v>
      </c>
      <c r="P16" s="198" t="s">
        <v>155</v>
      </c>
      <c r="Q16" s="29">
        <v>2.1800000000000002</v>
      </c>
      <c r="R16" s="172" t="str">
        <f t="shared" si="4"/>
        <v>A</v>
      </c>
      <c r="S16" s="175">
        <f t="shared" si="5"/>
        <v>1</v>
      </c>
      <c r="T16" s="175">
        <f t="shared" si="6"/>
        <v>1</v>
      </c>
      <c r="U16" s="175">
        <f t="shared" si="7"/>
        <v>0</v>
      </c>
      <c r="V16" s="179" t="str">
        <f t="shared" si="8"/>
        <v>Lutjanus  lemniscatus</v>
      </c>
      <c r="W16" s="179" t="str">
        <f t="shared" si="9"/>
        <v>Lutjanus  lemniscatus</v>
      </c>
      <c r="X16" s="175">
        <f t="shared" si="10"/>
        <v>0</v>
      </c>
      <c r="Y16" s="175">
        <f t="shared" si="11"/>
        <v>0</v>
      </c>
      <c r="Z16" s="175">
        <f t="shared" si="12"/>
        <v>0</v>
      </c>
      <c r="AA16" s="175">
        <f t="shared" si="13"/>
        <v>0</v>
      </c>
    </row>
    <row r="17" spans="1:27" ht="15" customHeight="1" x14ac:dyDescent="0.25">
      <c r="A17" s="136" t="s">
        <v>81</v>
      </c>
      <c r="B17" s="137">
        <f>B16/B4</f>
        <v>0</v>
      </c>
      <c r="D17" s="170">
        <v>1</v>
      </c>
      <c r="E17" s="170">
        <f t="shared" si="3"/>
        <v>1</v>
      </c>
      <c r="F17" s="28" t="s">
        <v>160</v>
      </c>
      <c r="G17" s="28" t="s">
        <v>99</v>
      </c>
      <c r="H17" s="28" t="s">
        <v>138</v>
      </c>
      <c r="I17" s="190">
        <v>44263</v>
      </c>
      <c r="J17" s="28" t="s">
        <v>140</v>
      </c>
      <c r="K17" s="28" t="s">
        <v>155</v>
      </c>
      <c r="L17" s="198" t="s">
        <v>140</v>
      </c>
      <c r="M17" s="198" t="s">
        <v>155</v>
      </c>
      <c r="N17" s="199">
        <v>2.5</v>
      </c>
      <c r="O17" s="198" t="s">
        <v>140</v>
      </c>
      <c r="P17" s="198" t="s">
        <v>155</v>
      </c>
      <c r="Q17" s="29">
        <v>2.4300000000000002</v>
      </c>
      <c r="R17" s="172" t="str">
        <f t="shared" si="4"/>
        <v>A</v>
      </c>
      <c r="S17" s="175">
        <f t="shared" si="5"/>
        <v>1</v>
      </c>
      <c r="T17" s="175">
        <f t="shared" si="6"/>
        <v>1</v>
      </c>
      <c r="U17" s="175">
        <f t="shared" si="7"/>
        <v>0</v>
      </c>
      <c r="V17" s="179" t="str">
        <f t="shared" si="8"/>
        <v>Lutjanus  lemniscatus</v>
      </c>
      <c r="W17" s="179" t="str">
        <f t="shared" si="9"/>
        <v>Lutjanus  lemniscatus</v>
      </c>
      <c r="X17" s="175">
        <f t="shared" si="10"/>
        <v>0</v>
      </c>
      <c r="Y17" s="175">
        <f t="shared" si="11"/>
        <v>0</v>
      </c>
      <c r="Z17" s="175">
        <f t="shared" si="12"/>
        <v>0</v>
      </c>
      <c r="AA17" s="175">
        <f t="shared" si="13"/>
        <v>0</v>
      </c>
    </row>
    <row r="18" spans="1:27" ht="15" customHeight="1" x14ac:dyDescent="0.25">
      <c r="D18" s="170">
        <v>1</v>
      </c>
      <c r="E18" s="170">
        <f t="shared" si="3"/>
        <v>1</v>
      </c>
      <c r="F18" s="28" t="s">
        <v>161</v>
      </c>
      <c r="G18" s="28" t="s">
        <v>99</v>
      </c>
      <c r="H18" s="28" t="s">
        <v>138</v>
      </c>
      <c r="I18" s="190">
        <v>43756</v>
      </c>
      <c r="J18" s="28" t="s">
        <v>140</v>
      </c>
      <c r="K18" s="28" t="s">
        <v>155</v>
      </c>
      <c r="L18" s="198" t="s">
        <v>140</v>
      </c>
      <c r="M18" s="198" t="s">
        <v>155</v>
      </c>
      <c r="N18" s="199">
        <v>2.5</v>
      </c>
      <c r="O18" s="198" t="s">
        <v>140</v>
      </c>
      <c r="P18" s="198" t="s">
        <v>155</v>
      </c>
      <c r="Q18" s="29">
        <v>2.48</v>
      </c>
      <c r="R18" s="172" t="str">
        <f t="shared" si="4"/>
        <v>A</v>
      </c>
      <c r="S18" s="175">
        <f t="shared" si="5"/>
        <v>1</v>
      </c>
      <c r="T18" s="175">
        <f t="shared" si="6"/>
        <v>1</v>
      </c>
      <c r="U18" s="175">
        <f t="shared" si="7"/>
        <v>0</v>
      </c>
      <c r="V18" s="179" t="str">
        <f t="shared" si="8"/>
        <v>Lutjanus  lemniscatus</v>
      </c>
      <c r="W18" s="179" t="str">
        <f t="shared" si="9"/>
        <v>Lutjanus  lemniscatus</v>
      </c>
      <c r="X18" s="175">
        <f t="shared" si="10"/>
        <v>0</v>
      </c>
      <c r="Y18" s="175">
        <f t="shared" si="11"/>
        <v>0</v>
      </c>
      <c r="Z18" s="175">
        <f t="shared" si="12"/>
        <v>0</v>
      </c>
      <c r="AA18" s="175">
        <f t="shared" si="13"/>
        <v>0</v>
      </c>
    </row>
    <row r="19" spans="1:27" ht="15" customHeight="1" x14ac:dyDescent="0.25">
      <c r="D19" s="170">
        <v>1</v>
      </c>
      <c r="E19" s="170">
        <f t="shared" si="3"/>
        <v>1</v>
      </c>
      <c r="F19" s="28" t="s">
        <v>162</v>
      </c>
      <c r="G19" s="28" t="s">
        <v>99</v>
      </c>
      <c r="H19" s="28" t="s">
        <v>138</v>
      </c>
      <c r="I19" s="190">
        <v>43755</v>
      </c>
      <c r="J19" s="28" t="s">
        <v>140</v>
      </c>
      <c r="K19" s="28" t="s">
        <v>155</v>
      </c>
      <c r="L19" s="198" t="s">
        <v>140</v>
      </c>
      <c r="M19" s="198" t="s">
        <v>155</v>
      </c>
      <c r="N19" s="199">
        <v>2.27</v>
      </c>
      <c r="O19" s="198" t="s">
        <v>140</v>
      </c>
      <c r="P19" s="198" t="s">
        <v>155</v>
      </c>
      <c r="Q19" s="29">
        <v>2.1800000000000002</v>
      </c>
      <c r="R19" s="172" t="str">
        <f t="shared" si="4"/>
        <v>A</v>
      </c>
      <c r="S19" s="175">
        <f t="shared" si="5"/>
        <v>1</v>
      </c>
      <c r="T19" s="175">
        <f t="shared" si="6"/>
        <v>1</v>
      </c>
      <c r="U19" s="175">
        <f t="shared" si="7"/>
        <v>0</v>
      </c>
      <c r="V19" s="179" t="str">
        <f t="shared" si="8"/>
        <v>Lutjanus  lemniscatus</v>
      </c>
      <c r="W19" s="179" t="str">
        <f t="shared" si="9"/>
        <v>Lutjanus  lemniscatus</v>
      </c>
      <c r="X19" s="175">
        <f t="shared" si="10"/>
        <v>0</v>
      </c>
      <c r="Y19" s="175">
        <f t="shared" si="11"/>
        <v>0</v>
      </c>
      <c r="Z19" s="175">
        <f t="shared" si="12"/>
        <v>0</v>
      </c>
      <c r="AA19" s="175">
        <f t="shared" si="13"/>
        <v>0</v>
      </c>
    </row>
    <row r="20" spans="1:27" ht="15" customHeight="1" x14ac:dyDescent="0.25">
      <c r="A20" s="145" t="s">
        <v>83</v>
      </c>
      <c r="B20" s="162">
        <f>Settings!F10</f>
        <v>2</v>
      </c>
      <c r="C20" s="1" t="s">
        <v>84</v>
      </c>
      <c r="D20" s="170">
        <v>1</v>
      </c>
      <c r="E20" s="170">
        <f t="shared" si="3"/>
        <v>1</v>
      </c>
      <c r="F20" s="28" t="s">
        <v>163</v>
      </c>
      <c r="G20" s="28" t="s">
        <v>99</v>
      </c>
      <c r="H20" s="28" t="s">
        <v>138</v>
      </c>
      <c r="I20" s="190">
        <v>43755</v>
      </c>
      <c r="J20" s="28" t="s">
        <v>140</v>
      </c>
      <c r="K20" s="28" t="s">
        <v>155</v>
      </c>
      <c r="L20" s="198" t="s">
        <v>140</v>
      </c>
      <c r="M20" s="198" t="s">
        <v>155</v>
      </c>
      <c r="N20" s="199">
        <v>2.35</v>
      </c>
      <c r="O20" s="198" t="s">
        <v>140</v>
      </c>
      <c r="P20" s="198" t="s">
        <v>155</v>
      </c>
      <c r="Q20" s="29">
        <v>2.2999999999999998</v>
      </c>
      <c r="R20" s="172" t="str">
        <f t="shared" si="4"/>
        <v>A</v>
      </c>
      <c r="S20" s="175">
        <f t="shared" si="5"/>
        <v>1</v>
      </c>
      <c r="T20" s="175">
        <f t="shared" si="6"/>
        <v>1</v>
      </c>
      <c r="U20" s="175">
        <f t="shared" si="7"/>
        <v>0</v>
      </c>
      <c r="V20" s="179" t="str">
        <f t="shared" si="8"/>
        <v>Lutjanus  lemniscatus</v>
      </c>
      <c r="W20" s="179" t="str">
        <f t="shared" si="9"/>
        <v>Lutjanus  lemniscatus</v>
      </c>
      <c r="X20" s="175">
        <f t="shared" si="10"/>
        <v>0</v>
      </c>
      <c r="Y20" s="175">
        <f t="shared" si="11"/>
        <v>0</v>
      </c>
      <c r="Z20" s="175">
        <f t="shared" si="12"/>
        <v>0</v>
      </c>
      <c r="AA20" s="175">
        <f t="shared" si="13"/>
        <v>0</v>
      </c>
    </row>
    <row r="21" spans="1:27" ht="15" customHeight="1" x14ac:dyDescent="0.25">
      <c r="A21" s="147"/>
      <c r="B21" s="163">
        <f>Settings!D10</f>
        <v>1.7</v>
      </c>
      <c r="C21" s="1" t="s">
        <v>85</v>
      </c>
      <c r="D21" s="170">
        <v>1</v>
      </c>
      <c r="E21" s="170">
        <f t="shared" si="3"/>
        <v>1</v>
      </c>
      <c r="F21" s="28" t="s">
        <v>164</v>
      </c>
      <c r="G21" s="28" t="s">
        <v>99</v>
      </c>
      <c r="H21" s="28" t="s">
        <v>138</v>
      </c>
      <c r="I21" s="190">
        <v>43755</v>
      </c>
      <c r="J21" s="28" t="s">
        <v>140</v>
      </c>
      <c r="K21" s="28" t="s">
        <v>155</v>
      </c>
      <c r="L21" s="198" t="s">
        <v>140</v>
      </c>
      <c r="M21" s="198" t="s">
        <v>155</v>
      </c>
      <c r="N21" s="199">
        <v>2.44</v>
      </c>
      <c r="O21" s="198" t="s">
        <v>140</v>
      </c>
      <c r="P21" s="198" t="s">
        <v>155</v>
      </c>
      <c r="Q21" s="29">
        <v>2.42</v>
      </c>
      <c r="R21" s="172" t="str">
        <f t="shared" si="4"/>
        <v>A</v>
      </c>
      <c r="S21" s="175">
        <f t="shared" si="5"/>
        <v>1</v>
      </c>
      <c r="T21" s="175">
        <f t="shared" si="6"/>
        <v>1</v>
      </c>
      <c r="U21" s="175">
        <f t="shared" si="7"/>
        <v>0</v>
      </c>
      <c r="V21" s="179" t="str">
        <f t="shared" si="8"/>
        <v>Lutjanus  lemniscatus</v>
      </c>
      <c r="W21" s="179" t="str">
        <f t="shared" si="9"/>
        <v>Lutjanus  lemniscatus</v>
      </c>
      <c r="X21" s="175">
        <f t="shared" si="10"/>
        <v>0</v>
      </c>
      <c r="Y21" s="175">
        <f t="shared" si="11"/>
        <v>0</v>
      </c>
      <c r="Z21" s="175">
        <f t="shared" si="12"/>
        <v>0</v>
      </c>
      <c r="AA21" s="175">
        <f t="shared" si="13"/>
        <v>0</v>
      </c>
    </row>
    <row r="22" spans="1:27" ht="15" customHeight="1" x14ac:dyDescent="0.25">
      <c r="A22" s="1" t="s">
        <v>98</v>
      </c>
      <c r="D22" s="170">
        <v>1</v>
      </c>
      <c r="E22" s="170">
        <f t="shared" si="3"/>
        <v>1</v>
      </c>
      <c r="F22" s="28" t="s">
        <v>165</v>
      </c>
      <c r="G22" s="28" t="s">
        <v>99</v>
      </c>
      <c r="H22" s="28" t="s">
        <v>138</v>
      </c>
      <c r="I22" s="190">
        <v>43755</v>
      </c>
      <c r="J22" s="28" t="s">
        <v>140</v>
      </c>
      <c r="K22" s="28" t="s">
        <v>155</v>
      </c>
      <c r="L22" s="198" t="s">
        <v>140</v>
      </c>
      <c r="M22" s="198" t="s">
        <v>155</v>
      </c>
      <c r="N22" s="199">
        <v>2.37</v>
      </c>
      <c r="O22" s="198" t="s">
        <v>140</v>
      </c>
      <c r="P22" s="198" t="s">
        <v>155</v>
      </c>
      <c r="Q22" s="29">
        <v>2.33</v>
      </c>
      <c r="R22" s="172" t="str">
        <f t="shared" si="4"/>
        <v>A</v>
      </c>
      <c r="S22" s="175">
        <f t="shared" si="5"/>
        <v>1</v>
      </c>
      <c r="T22" s="175">
        <f t="shared" si="6"/>
        <v>1</v>
      </c>
      <c r="U22" s="175">
        <f t="shared" si="7"/>
        <v>0</v>
      </c>
      <c r="V22" s="179" t="str">
        <f t="shared" si="8"/>
        <v>Lutjanus  lemniscatus</v>
      </c>
      <c r="W22" s="179" t="str">
        <f t="shared" si="9"/>
        <v>Lutjanus  lemniscatus</v>
      </c>
      <c r="X22" s="175">
        <f t="shared" si="10"/>
        <v>0</v>
      </c>
      <c r="Y22" s="175">
        <f t="shared" si="11"/>
        <v>0</v>
      </c>
      <c r="Z22" s="175">
        <f t="shared" si="12"/>
        <v>0</v>
      </c>
      <c r="AA22" s="175">
        <f t="shared" si="13"/>
        <v>0</v>
      </c>
    </row>
    <row r="23" spans="1:27" ht="15" customHeight="1" x14ac:dyDescent="0.25">
      <c r="D23" s="170">
        <v>1</v>
      </c>
      <c r="E23" s="170">
        <f t="shared" si="3"/>
        <v>1</v>
      </c>
      <c r="F23" s="28" t="s">
        <v>166</v>
      </c>
      <c r="G23" s="28" t="s">
        <v>99</v>
      </c>
      <c r="H23" s="28" t="s">
        <v>138</v>
      </c>
      <c r="I23" s="190">
        <v>43755</v>
      </c>
      <c r="J23" s="28" t="s">
        <v>140</v>
      </c>
      <c r="K23" s="28" t="s">
        <v>155</v>
      </c>
      <c r="L23" s="28" t="s">
        <v>140</v>
      </c>
      <c r="M23" s="28" t="s">
        <v>155</v>
      </c>
      <c r="N23" s="194">
        <v>2.25</v>
      </c>
      <c r="O23" s="28" t="s">
        <v>140</v>
      </c>
      <c r="P23" s="28" t="s">
        <v>155</v>
      </c>
      <c r="Q23" s="194">
        <v>2.2400000000000002</v>
      </c>
      <c r="R23" s="172" t="str">
        <f t="shared" si="4"/>
        <v>A</v>
      </c>
      <c r="S23" s="175">
        <f t="shared" si="5"/>
        <v>1</v>
      </c>
      <c r="T23" s="175">
        <f t="shared" si="6"/>
        <v>1</v>
      </c>
      <c r="U23" s="175">
        <f t="shared" si="7"/>
        <v>0</v>
      </c>
      <c r="V23" s="179" t="str">
        <f t="shared" si="8"/>
        <v>Lutjanus  lemniscatus</v>
      </c>
      <c r="W23" s="179" t="str">
        <f t="shared" si="9"/>
        <v>Lutjanus  lemniscatus</v>
      </c>
      <c r="X23" s="175">
        <f t="shared" si="10"/>
        <v>0</v>
      </c>
      <c r="Y23" s="175">
        <f t="shared" si="11"/>
        <v>0</v>
      </c>
      <c r="Z23" s="175">
        <f t="shared" si="12"/>
        <v>0</v>
      </c>
      <c r="AA23" s="175">
        <f t="shared" si="13"/>
        <v>0</v>
      </c>
    </row>
    <row r="24" spans="1:27" ht="15" customHeight="1" x14ac:dyDescent="0.25">
      <c r="A24" s="52" t="s">
        <v>61</v>
      </c>
      <c r="B24" s="48">
        <f>B4</f>
        <v>64</v>
      </c>
      <c r="D24" s="170">
        <v>1</v>
      </c>
      <c r="E24" s="170">
        <v>1</v>
      </c>
      <c r="F24" s="28" t="s">
        <v>235</v>
      </c>
      <c r="G24" s="28" t="s">
        <v>99</v>
      </c>
      <c r="H24" s="28" t="s">
        <v>138</v>
      </c>
      <c r="I24" s="31">
        <v>44224</v>
      </c>
      <c r="J24" s="28" t="s">
        <v>277</v>
      </c>
      <c r="K24" s="28" t="s">
        <v>299</v>
      </c>
      <c r="L24" s="198" t="s">
        <v>277</v>
      </c>
      <c r="M24" s="198" t="s">
        <v>299</v>
      </c>
      <c r="N24" s="199">
        <v>2.15</v>
      </c>
      <c r="O24" s="198" t="s">
        <v>277</v>
      </c>
      <c r="P24" s="198" t="s">
        <v>299</v>
      </c>
      <c r="Q24" s="29">
        <v>2.0499999999999998</v>
      </c>
      <c r="R24" s="172" t="str">
        <f t="shared" ref="R24" si="15">IF(OR(AND(N23&gt;=$B$20,Q23&lt;$B$21),AND(L23=O23,M23=P23,N23&gt;=$B$20,Q23&gt;=$B$20),AND(L23=O23,N23&gt;=$B$20,Q23&lt;2,Q23&gt;=$B$21)),"A",IF(OR(AND(N23&lt;$B$20,Q23&lt;$B$21),AND(L23=O23,OR(M23&lt;&gt;P23,M23=P23),N23&gt;=$B$21,Q23&gt;=$B$21)),"B",
IF(AND(L23&lt;&gt;O23,N23&gt;=$B$21,Q23&gt;=$B$21),"C",0)))</f>
        <v>A</v>
      </c>
      <c r="S24" s="175">
        <f t="shared" ref="S24" si="16">1-U24+Z24</f>
        <v>1</v>
      </c>
      <c r="T24" s="175">
        <f t="shared" ref="T24" si="17">IF(AND(L24=J24,M24=K24,N24&gt;=$B$20,R24="A"),1,0)</f>
        <v>1</v>
      </c>
      <c r="U24" s="175">
        <f t="shared" si="7"/>
        <v>0</v>
      </c>
      <c r="V24" s="179" t="str">
        <f t="shared" ref="V24" si="18">L24&amp;" "&amp;M24</f>
        <v>Epinephelus coicoides</v>
      </c>
      <c r="W24" s="179" t="str">
        <f t="shared" ref="W24" si="19">O24&amp;" "&amp;P24</f>
        <v>Epinephelus coicoides</v>
      </c>
      <c r="X24" s="175">
        <f t="shared" ref="X24" si="20">IF(AND(V24=$B$1,N24&gt;=$B$20),1,0)</f>
        <v>0</v>
      </c>
      <c r="Y24" s="175">
        <f t="shared" ref="Y24" si="21">IF(AND(W24=$B$1,Q24&gt;=$B$20),1,0)</f>
        <v>0</v>
      </c>
      <c r="Z24" s="175">
        <f t="shared" ref="Z24" si="22">IF(AND(V24=$B$1,N24&gt;=$B$20,R24="A"),1,0)</f>
        <v>0</v>
      </c>
      <c r="AA24" s="175">
        <f t="shared" ref="AA24" si="23">IF(1-(X24+Y24)&gt;0,0,1)</f>
        <v>0</v>
      </c>
    </row>
    <row r="25" spans="1:27" ht="15" customHeight="1" x14ac:dyDescent="0.25">
      <c r="A25" s="61" t="s">
        <v>70</v>
      </c>
      <c r="B25" s="101">
        <f>B6</f>
        <v>64</v>
      </c>
      <c r="D25" s="170">
        <v>1</v>
      </c>
      <c r="E25" s="170">
        <v>1</v>
      </c>
      <c r="F25" s="28" t="s">
        <v>236</v>
      </c>
      <c r="G25" s="28" t="s">
        <v>99</v>
      </c>
      <c r="H25" s="28" t="s">
        <v>138</v>
      </c>
      <c r="I25" s="31">
        <v>43391</v>
      </c>
      <c r="J25" s="28" t="s">
        <v>277</v>
      </c>
      <c r="K25" s="28" t="s">
        <v>299</v>
      </c>
      <c r="L25" s="198" t="s">
        <v>277</v>
      </c>
      <c r="M25" s="198" t="s">
        <v>299</v>
      </c>
      <c r="N25" s="199">
        <v>2.31</v>
      </c>
      <c r="O25" s="198" t="s">
        <v>277</v>
      </c>
      <c r="P25" s="198" t="s">
        <v>299</v>
      </c>
      <c r="Q25" s="29">
        <v>2.2999999999999998</v>
      </c>
      <c r="R25" s="172" t="str">
        <f t="shared" si="4"/>
        <v>A</v>
      </c>
      <c r="S25" s="175">
        <f t="shared" si="5"/>
        <v>1</v>
      </c>
      <c r="T25" s="175">
        <f t="shared" si="6"/>
        <v>1</v>
      </c>
      <c r="U25" s="175">
        <f t="shared" si="7"/>
        <v>0</v>
      </c>
      <c r="V25" s="179" t="str">
        <f t="shared" si="8"/>
        <v>Epinephelus coicoides</v>
      </c>
      <c r="W25" s="179" t="str">
        <f t="shared" si="9"/>
        <v>Epinephelus coicoides</v>
      </c>
      <c r="X25" s="175">
        <f t="shared" si="10"/>
        <v>0</v>
      </c>
      <c r="Y25" s="175">
        <f t="shared" si="11"/>
        <v>0</v>
      </c>
      <c r="Z25" s="175">
        <f t="shared" si="12"/>
        <v>0</v>
      </c>
      <c r="AA25" s="175">
        <f t="shared" si="13"/>
        <v>0</v>
      </c>
    </row>
    <row r="26" spans="1:27" ht="15" customHeight="1" x14ac:dyDescent="0.25">
      <c r="A26" s="65" t="s">
        <v>68</v>
      </c>
      <c r="B26" s="98">
        <f>B7</f>
        <v>0</v>
      </c>
      <c r="D26" s="170">
        <v>1</v>
      </c>
      <c r="E26" s="170">
        <v>1</v>
      </c>
      <c r="F26" s="28" t="s">
        <v>237</v>
      </c>
      <c r="G26" s="28" t="s">
        <v>99</v>
      </c>
      <c r="H26" s="28" t="s">
        <v>138</v>
      </c>
      <c r="I26" s="31">
        <v>44224</v>
      </c>
      <c r="J26" s="28" t="s">
        <v>277</v>
      </c>
      <c r="K26" s="28" t="s">
        <v>299</v>
      </c>
      <c r="L26" s="198" t="s">
        <v>277</v>
      </c>
      <c r="M26" s="198" t="s">
        <v>299</v>
      </c>
      <c r="N26" s="199">
        <v>2.34</v>
      </c>
      <c r="O26" s="198" t="s">
        <v>277</v>
      </c>
      <c r="P26" s="198" t="s">
        <v>299</v>
      </c>
      <c r="Q26" s="29">
        <v>2.2000000000000002</v>
      </c>
      <c r="R26" s="172" t="str">
        <f t="shared" si="4"/>
        <v>A</v>
      </c>
      <c r="S26" s="175">
        <f t="shared" si="5"/>
        <v>1</v>
      </c>
      <c r="T26" s="175">
        <f t="shared" si="6"/>
        <v>1</v>
      </c>
      <c r="U26" s="175">
        <f t="shared" si="7"/>
        <v>0</v>
      </c>
      <c r="V26" s="179" t="str">
        <f t="shared" si="8"/>
        <v>Epinephelus coicoides</v>
      </c>
      <c r="W26" s="179" t="str">
        <f t="shared" si="9"/>
        <v>Epinephelus coicoides</v>
      </c>
      <c r="X26" s="175">
        <f t="shared" si="10"/>
        <v>0</v>
      </c>
      <c r="Y26" s="175">
        <f t="shared" si="11"/>
        <v>0</v>
      </c>
      <c r="Z26" s="175">
        <f t="shared" si="12"/>
        <v>0</v>
      </c>
      <c r="AA26" s="175">
        <f t="shared" si="13"/>
        <v>0</v>
      </c>
    </row>
    <row r="27" spans="1:27" ht="15" customHeight="1" x14ac:dyDescent="0.25">
      <c r="D27" s="170">
        <v>1</v>
      </c>
      <c r="E27" s="170">
        <v>1</v>
      </c>
      <c r="F27" s="28" t="s">
        <v>238</v>
      </c>
      <c r="G27" s="28" t="s">
        <v>99</v>
      </c>
      <c r="H27" s="28" t="s">
        <v>138</v>
      </c>
      <c r="I27" s="31">
        <v>43547</v>
      </c>
      <c r="J27" s="28" t="s">
        <v>277</v>
      </c>
      <c r="K27" s="28" t="s">
        <v>299</v>
      </c>
      <c r="L27" s="198" t="s">
        <v>277</v>
      </c>
      <c r="M27" s="198" t="s">
        <v>299</v>
      </c>
      <c r="N27" s="199">
        <v>2.17</v>
      </c>
      <c r="O27" s="198" t="s">
        <v>277</v>
      </c>
      <c r="P27" s="198" t="s">
        <v>299</v>
      </c>
      <c r="Q27" s="29">
        <v>2.11</v>
      </c>
      <c r="R27" s="172" t="str">
        <f t="shared" si="4"/>
        <v>A</v>
      </c>
      <c r="S27" s="175">
        <f t="shared" si="5"/>
        <v>1</v>
      </c>
      <c r="T27" s="175">
        <f t="shared" si="6"/>
        <v>1</v>
      </c>
      <c r="U27" s="175">
        <f t="shared" si="7"/>
        <v>0</v>
      </c>
      <c r="V27" s="179" t="str">
        <f t="shared" si="8"/>
        <v>Epinephelus coicoides</v>
      </c>
      <c r="W27" s="179" t="str">
        <f t="shared" si="9"/>
        <v>Epinephelus coicoides</v>
      </c>
      <c r="X27" s="175">
        <f t="shared" si="10"/>
        <v>0</v>
      </c>
      <c r="Y27" s="175">
        <f t="shared" si="11"/>
        <v>0</v>
      </c>
      <c r="Z27" s="175">
        <f t="shared" si="12"/>
        <v>0</v>
      </c>
      <c r="AA27" s="175">
        <f t="shared" si="13"/>
        <v>0</v>
      </c>
    </row>
    <row r="28" spans="1:27" ht="15" customHeight="1" x14ac:dyDescent="0.25">
      <c r="A28" s="1" t="s">
        <v>79</v>
      </c>
      <c r="B28" s="44">
        <f>1-(B4/B3)</f>
        <v>0</v>
      </c>
      <c r="D28" s="170">
        <v>1</v>
      </c>
      <c r="E28" s="170">
        <v>1</v>
      </c>
      <c r="F28" s="28" t="s">
        <v>239</v>
      </c>
      <c r="G28" s="28" t="s">
        <v>99</v>
      </c>
      <c r="H28" s="28" t="s">
        <v>138</v>
      </c>
      <c r="I28" s="31">
        <v>43742</v>
      </c>
      <c r="J28" s="28" t="s">
        <v>277</v>
      </c>
      <c r="K28" s="28" t="s">
        <v>299</v>
      </c>
      <c r="L28" s="198" t="s">
        <v>277</v>
      </c>
      <c r="M28" s="198" t="s">
        <v>299</v>
      </c>
      <c r="N28" s="199">
        <v>2.06</v>
      </c>
      <c r="O28" s="198" t="s">
        <v>277</v>
      </c>
      <c r="P28" s="198" t="s">
        <v>299</v>
      </c>
      <c r="Q28" s="29">
        <v>2.02</v>
      </c>
      <c r="R28" s="172" t="str">
        <f t="shared" si="4"/>
        <v>A</v>
      </c>
      <c r="S28" s="175">
        <f t="shared" si="5"/>
        <v>1</v>
      </c>
      <c r="T28" s="175">
        <f t="shared" si="6"/>
        <v>1</v>
      </c>
      <c r="U28" s="175">
        <f t="shared" si="7"/>
        <v>0</v>
      </c>
      <c r="V28" s="179" t="str">
        <f t="shared" si="8"/>
        <v>Epinephelus coicoides</v>
      </c>
      <c r="W28" s="179" t="str">
        <f t="shared" si="9"/>
        <v>Epinephelus coicoides</v>
      </c>
      <c r="X28" s="175">
        <f t="shared" si="10"/>
        <v>0</v>
      </c>
      <c r="Y28" s="175">
        <f t="shared" si="11"/>
        <v>0</v>
      </c>
      <c r="Z28" s="175">
        <f t="shared" si="12"/>
        <v>0</v>
      </c>
      <c r="AA28" s="175">
        <f t="shared" si="13"/>
        <v>0</v>
      </c>
    </row>
    <row r="29" spans="1:27" ht="15" customHeight="1" x14ac:dyDescent="0.25">
      <c r="A29" s="134" t="s">
        <v>80</v>
      </c>
      <c r="B29" s="135">
        <f>B26/B4</f>
        <v>0</v>
      </c>
      <c r="D29" s="170">
        <v>1</v>
      </c>
      <c r="E29" s="170">
        <v>1</v>
      </c>
      <c r="F29" s="28" t="s">
        <v>240</v>
      </c>
      <c r="G29" s="28" t="s">
        <v>99</v>
      </c>
      <c r="H29" s="28" t="s">
        <v>138</v>
      </c>
      <c r="I29" s="31">
        <v>44252</v>
      </c>
      <c r="J29" s="28" t="s">
        <v>277</v>
      </c>
      <c r="K29" s="28" t="s">
        <v>299</v>
      </c>
      <c r="L29" s="198" t="s">
        <v>277</v>
      </c>
      <c r="M29" s="198" t="s">
        <v>299</v>
      </c>
      <c r="N29" s="199">
        <v>2.33</v>
      </c>
      <c r="O29" s="198" t="s">
        <v>277</v>
      </c>
      <c r="P29" s="198" t="s">
        <v>299</v>
      </c>
      <c r="Q29" s="29">
        <v>2.19</v>
      </c>
      <c r="R29" s="172" t="str">
        <f t="shared" si="4"/>
        <v>A</v>
      </c>
      <c r="S29" s="175">
        <f t="shared" si="5"/>
        <v>1</v>
      </c>
      <c r="T29" s="175">
        <f t="shared" si="6"/>
        <v>1</v>
      </c>
      <c r="U29" s="175">
        <f t="shared" si="7"/>
        <v>0</v>
      </c>
      <c r="V29" s="179" t="str">
        <f t="shared" si="8"/>
        <v>Epinephelus coicoides</v>
      </c>
      <c r="W29" s="179" t="str">
        <f t="shared" si="9"/>
        <v>Epinephelus coicoides</v>
      </c>
      <c r="X29" s="175">
        <f t="shared" si="10"/>
        <v>0</v>
      </c>
      <c r="Y29" s="175">
        <f t="shared" si="11"/>
        <v>0</v>
      </c>
      <c r="Z29" s="175">
        <f t="shared" si="12"/>
        <v>0</v>
      </c>
      <c r="AA29" s="175">
        <f t="shared" si="13"/>
        <v>0</v>
      </c>
    </row>
    <row r="30" spans="1:27" ht="15" customHeight="1" x14ac:dyDescent="0.25">
      <c r="D30" s="170">
        <v>1</v>
      </c>
      <c r="E30" s="170">
        <v>1</v>
      </c>
      <c r="F30" s="28" t="s">
        <v>241</v>
      </c>
      <c r="G30" s="28" t="s">
        <v>99</v>
      </c>
      <c r="H30" s="28" t="s">
        <v>138</v>
      </c>
      <c r="I30" s="31">
        <v>43756</v>
      </c>
      <c r="J30" s="28" t="s">
        <v>277</v>
      </c>
      <c r="K30" s="28" t="s">
        <v>299</v>
      </c>
      <c r="L30" s="198" t="s">
        <v>277</v>
      </c>
      <c r="M30" s="198" t="s">
        <v>299</v>
      </c>
      <c r="N30" s="199">
        <v>2.31</v>
      </c>
      <c r="O30" s="198" t="s">
        <v>277</v>
      </c>
      <c r="P30" s="198" t="s">
        <v>299</v>
      </c>
      <c r="Q30" s="29">
        <v>2.0699999999999998</v>
      </c>
      <c r="R30" s="172" t="str">
        <f t="shared" si="4"/>
        <v>A</v>
      </c>
      <c r="S30" s="175">
        <f t="shared" si="5"/>
        <v>1</v>
      </c>
      <c r="T30" s="175">
        <f t="shared" si="6"/>
        <v>1</v>
      </c>
      <c r="U30" s="175">
        <f t="shared" si="7"/>
        <v>0</v>
      </c>
      <c r="V30" s="179" t="str">
        <f t="shared" si="8"/>
        <v>Epinephelus coicoides</v>
      </c>
      <c r="W30" s="179" t="str">
        <f t="shared" si="9"/>
        <v>Epinephelus coicoides</v>
      </c>
      <c r="X30" s="175">
        <f t="shared" si="10"/>
        <v>0</v>
      </c>
      <c r="Y30" s="175">
        <f t="shared" si="11"/>
        <v>0</v>
      </c>
      <c r="Z30" s="175">
        <f t="shared" si="12"/>
        <v>0</v>
      </c>
      <c r="AA30" s="175">
        <f t="shared" si="13"/>
        <v>0</v>
      </c>
    </row>
    <row r="31" spans="1:27" ht="15" customHeight="1" x14ac:dyDescent="0.25">
      <c r="D31" s="170">
        <v>1</v>
      </c>
      <c r="E31" s="170">
        <v>1</v>
      </c>
      <c r="F31" s="28" t="s">
        <v>242</v>
      </c>
      <c r="G31" s="28" t="s">
        <v>99</v>
      </c>
      <c r="H31" s="28" t="s">
        <v>138</v>
      </c>
      <c r="I31" s="31">
        <v>43755</v>
      </c>
      <c r="J31" s="28" t="s">
        <v>277</v>
      </c>
      <c r="K31" s="28" t="s">
        <v>299</v>
      </c>
      <c r="L31" s="198" t="s">
        <v>277</v>
      </c>
      <c r="M31" s="198" t="s">
        <v>299</v>
      </c>
      <c r="N31" s="199">
        <v>2.23</v>
      </c>
      <c r="O31" s="198" t="s">
        <v>277</v>
      </c>
      <c r="P31" s="198" t="s">
        <v>299</v>
      </c>
      <c r="Q31" s="29">
        <v>2.08</v>
      </c>
      <c r="R31" s="172" t="str">
        <f t="shared" si="4"/>
        <v>A</v>
      </c>
      <c r="S31" s="175">
        <f t="shared" si="5"/>
        <v>1</v>
      </c>
      <c r="T31" s="175">
        <f t="shared" si="6"/>
        <v>1</v>
      </c>
      <c r="U31" s="175">
        <f t="shared" si="7"/>
        <v>0</v>
      </c>
      <c r="V31" s="179" t="str">
        <f t="shared" si="8"/>
        <v>Epinephelus coicoides</v>
      </c>
      <c r="W31" s="179" t="str">
        <f t="shared" si="9"/>
        <v>Epinephelus coicoides</v>
      </c>
      <c r="X31" s="175">
        <f t="shared" si="10"/>
        <v>0</v>
      </c>
      <c r="Y31" s="175">
        <f t="shared" si="11"/>
        <v>0</v>
      </c>
      <c r="Z31" s="175">
        <f t="shared" si="12"/>
        <v>0</v>
      </c>
      <c r="AA31" s="175">
        <f t="shared" si="13"/>
        <v>0</v>
      </c>
    </row>
    <row r="32" spans="1:27" ht="15" customHeight="1" x14ac:dyDescent="0.25">
      <c r="D32" s="170">
        <v>1</v>
      </c>
      <c r="E32" s="170">
        <v>1</v>
      </c>
      <c r="F32" s="28" t="s">
        <v>243</v>
      </c>
      <c r="G32" s="28" t="s">
        <v>99</v>
      </c>
      <c r="H32" s="28" t="s">
        <v>138</v>
      </c>
      <c r="I32" s="31">
        <v>43755</v>
      </c>
      <c r="J32" s="28" t="s">
        <v>277</v>
      </c>
      <c r="K32" s="28" t="s">
        <v>299</v>
      </c>
      <c r="L32" s="198" t="s">
        <v>277</v>
      </c>
      <c r="M32" s="198" t="s">
        <v>299</v>
      </c>
      <c r="N32" s="199">
        <v>2.2599999999999998</v>
      </c>
      <c r="O32" s="198" t="s">
        <v>277</v>
      </c>
      <c r="P32" s="198" t="s">
        <v>299</v>
      </c>
      <c r="Q32" s="29">
        <v>2.0699999999999998</v>
      </c>
      <c r="R32" s="172" t="str">
        <f t="shared" si="4"/>
        <v>A</v>
      </c>
      <c r="S32" s="175">
        <f t="shared" si="5"/>
        <v>1</v>
      </c>
      <c r="T32" s="175">
        <f t="shared" si="6"/>
        <v>1</v>
      </c>
      <c r="U32" s="175">
        <f t="shared" si="7"/>
        <v>0</v>
      </c>
      <c r="V32" s="179" t="str">
        <f t="shared" si="8"/>
        <v>Epinephelus coicoides</v>
      </c>
      <c r="W32" s="179" t="str">
        <f t="shared" si="9"/>
        <v>Epinephelus coicoides</v>
      </c>
      <c r="X32" s="175">
        <f t="shared" si="10"/>
        <v>0</v>
      </c>
      <c r="Y32" s="175">
        <f t="shared" si="11"/>
        <v>0</v>
      </c>
      <c r="Z32" s="175">
        <f t="shared" si="12"/>
        <v>0</v>
      </c>
      <c r="AA32" s="175">
        <f t="shared" si="13"/>
        <v>0</v>
      </c>
    </row>
    <row r="33" spans="4:27" ht="15" customHeight="1" x14ac:dyDescent="0.25">
      <c r="D33" s="170">
        <v>1</v>
      </c>
      <c r="E33" s="170">
        <v>1</v>
      </c>
      <c r="F33" s="28" t="s">
        <v>244</v>
      </c>
      <c r="G33" s="28" t="s">
        <v>99</v>
      </c>
      <c r="H33" s="28" t="s">
        <v>138</v>
      </c>
      <c r="I33" s="31">
        <v>44239</v>
      </c>
      <c r="J33" s="28" t="s">
        <v>277</v>
      </c>
      <c r="K33" s="28" t="s">
        <v>299</v>
      </c>
      <c r="L33" s="28" t="s">
        <v>277</v>
      </c>
      <c r="M33" s="28" t="s">
        <v>299</v>
      </c>
      <c r="N33" s="194">
        <v>2.11</v>
      </c>
      <c r="O33" s="28" t="s">
        <v>277</v>
      </c>
      <c r="P33" s="28" t="s">
        <v>299</v>
      </c>
      <c r="Q33" s="194">
        <v>2.0499999999999998</v>
      </c>
      <c r="R33" s="172" t="str">
        <f t="shared" si="4"/>
        <v>A</v>
      </c>
      <c r="S33" s="175">
        <f t="shared" si="5"/>
        <v>1</v>
      </c>
      <c r="T33" s="175">
        <f t="shared" si="6"/>
        <v>1</v>
      </c>
      <c r="U33" s="175">
        <f t="shared" si="7"/>
        <v>0</v>
      </c>
      <c r="V33" s="179" t="str">
        <f t="shared" si="8"/>
        <v>Epinephelus coicoides</v>
      </c>
      <c r="W33" s="179" t="str">
        <f t="shared" si="9"/>
        <v>Epinephelus coicoides</v>
      </c>
      <c r="X33" s="175">
        <f t="shared" si="10"/>
        <v>0</v>
      </c>
      <c r="Y33" s="175">
        <f t="shared" si="11"/>
        <v>0</v>
      </c>
      <c r="Z33" s="175">
        <f t="shared" si="12"/>
        <v>0</v>
      </c>
      <c r="AA33" s="175">
        <f t="shared" si="13"/>
        <v>0</v>
      </c>
    </row>
    <row r="34" spans="4:27" ht="15" customHeight="1" x14ac:dyDescent="0.25">
      <c r="D34" s="170">
        <v>1</v>
      </c>
      <c r="E34" s="170">
        <v>1</v>
      </c>
      <c r="F34" s="28" t="s">
        <v>245</v>
      </c>
      <c r="G34" s="28" t="s">
        <v>99</v>
      </c>
      <c r="H34" s="28" t="s">
        <v>138</v>
      </c>
      <c r="I34" s="31">
        <v>44267</v>
      </c>
      <c r="J34" s="28" t="s">
        <v>277</v>
      </c>
      <c r="K34" s="28" t="s">
        <v>278</v>
      </c>
      <c r="L34" s="28" t="s">
        <v>277</v>
      </c>
      <c r="M34" s="28" t="s">
        <v>278</v>
      </c>
      <c r="N34" s="194">
        <v>2.37</v>
      </c>
      <c r="O34" s="28" t="s">
        <v>277</v>
      </c>
      <c r="P34" s="28" t="s">
        <v>278</v>
      </c>
      <c r="Q34" s="194">
        <v>2.2200000000000002</v>
      </c>
      <c r="R34" s="172" t="str">
        <f t="shared" si="4"/>
        <v>A</v>
      </c>
      <c r="S34" s="175">
        <f t="shared" si="5"/>
        <v>1</v>
      </c>
      <c r="T34" s="175">
        <f t="shared" si="6"/>
        <v>1</v>
      </c>
      <c r="U34" s="175">
        <f t="shared" si="7"/>
        <v>0</v>
      </c>
      <c r="V34" s="179" t="str">
        <f t="shared" si="8"/>
        <v>Epinephelus faveatus</v>
      </c>
      <c r="W34" s="179" t="str">
        <f t="shared" si="9"/>
        <v>Epinephelus faveatus</v>
      </c>
      <c r="X34" s="175">
        <f t="shared" si="10"/>
        <v>0</v>
      </c>
      <c r="Y34" s="175">
        <f t="shared" si="11"/>
        <v>0</v>
      </c>
      <c r="Z34" s="175">
        <f t="shared" si="12"/>
        <v>0</v>
      </c>
      <c r="AA34" s="175">
        <f t="shared" si="13"/>
        <v>0</v>
      </c>
    </row>
    <row r="35" spans="4:27" ht="15" customHeight="1" x14ac:dyDescent="0.25">
      <c r="D35" s="170">
        <v>1</v>
      </c>
      <c r="E35" s="170">
        <v>1</v>
      </c>
      <c r="F35" s="28" t="s">
        <v>246</v>
      </c>
      <c r="G35" s="28" t="s">
        <v>99</v>
      </c>
      <c r="H35" s="28" t="s">
        <v>138</v>
      </c>
      <c r="I35" s="31">
        <v>43414</v>
      </c>
      <c r="J35" s="28" t="s">
        <v>277</v>
      </c>
      <c r="K35" s="28" t="s">
        <v>279</v>
      </c>
      <c r="L35" s="28" t="s">
        <v>277</v>
      </c>
      <c r="M35" s="28" t="s">
        <v>279</v>
      </c>
      <c r="N35" s="29">
        <v>2.5499999999999998</v>
      </c>
      <c r="O35" s="28" t="s">
        <v>277</v>
      </c>
      <c r="P35" s="28" t="s">
        <v>279</v>
      </c>
      <c r="Q35" s="29">
        <v>2.2999999999999998</v>
      </c>
      <c r="R35" s="172" t="str">
        <f t="shared" si="4"/>
        <v>A</v>
      </c>
      <c r="S35" s="175">
        <f t="shared" si="5"/>
        <v>1</v>
      </c>
      <c r="T35" s="175">
        <f t="shared" si="6"/>
        <v>1</v>
      </c>
      <c r="U35" s="175">
        <f t="shared" si="7"/>
        <v>0</v>
      </c>
      <c r="V35" s="179" t="str">
        <f t="shared" si="8"/>
        <v>Epinephelus malabaricus</v>
      </c>
      <c r="W35" s="179" t="str">
        <f t="shared" si="9"/>
        <v>Epinephelus malabaricus</v>
      </c>
      <c r="X35" s="175">
        <f t="shared" si="10"/>
        <v>0</v>
      </c>
      <c r="Y35" s="175">
        <f t="shared" si="11"/>
        <v>0</v>
      </c>
      <c r="Z35" s="175">
        <f t="shared" si="12"/>
        <v>0</v>
      </c>
      <c r="AA35" s="175">
        <f t="shared" si="13"/>
        <v>0</v>
      </c>
    </row>
    <row r="36" spans="4:27" ht="15" customHeight="1" x14ac:dyDescent="0.25">
      <c r="D36" s="170">
        <v>1</v>
      </c>
      <c r="E36" s="170">
        <v>1</v>
      </c>
      <c r="F36" s="28" t="s">
        <v>247</v>
      </c>
      <c r="G36" s="28" t="s">
        <v>99</v>
      </c>
      <c r="H36" s="28" t="s">
        <v>138</v>
      </c>
      <c r="I36" s="31">
        <v>43414</v>
      </c>
      <c r="J36" s="28" t="s">
        <v>277</v>
      </c>
      <c r="K36" s="28" t="s">
        <v>279</v>
      </c>
      <c r="L36" s="28" t="s">
        <v>277</v>
      </c>
      <c r="M36" s="28" t="s">
        <v>279</v>
      </c>
      <c r="N36" s="29">
        <v>2.4</v>
      </c>
      <c r="O36" s="28" t="s">
        <v>277</v>
      </c>
      <c r="P36" s="28" t="s">
        <v>279</v>
      </c>
      <c r="Q36" s="29">
        <v>2.33</v>
      </c>
      <c r="R36" s="172" t="str">
        <f t="shared" si="4"/>
        <v>A</v>
      </c>
      <c r="S36" s="175">
        <f t="shared" si="5"/>
        <v>1</v>
      </c>
      <c r="T36" s="175">
        <f t="shared" si="6"/>
        <v>1</v>
      </c>
      <c r="U36" s="175">
        <f t="shared" si="7"/>
        <v>0</v>
      </c>
      <c r="V36" s="179" t="str">
        <f t="shared" si="8"/>
        <v>Epinephelus malabaricus</v>
      </c>
      <c r="W36" s="179" t="str">
        <f t="shared" si="9"/>
        <v>Epinephelus malabaricus</v>
      </c>
      <c r="X36" s="175">
        <f t="shared" si="10"/>
        <v>0</v>
      </c>
      <c r="Y36" s="175">
        <f t="shared" si="11"/>
        <v>0</v>
      </c>
      <c r="Z36" s="175">
        <f t="shared" si="12"/>
        <v>0</v>
      </c>
      <c r="AA36" s="175">
        <f t="shared" si="13"/>
        <v>0</v>
      </c>
    </row>
    <row r="37" spans="4:27" ht="15" customHeight="1" x14ac:dyDescent="0.25">
      <c r="D37" s="170">
        <v>1</v>
      </c>
      <c r="E37" s="170">
        <v>1</v>
      </c>
      <c r="F37" s="28" t="s">
        <v>248</v>
      </c>
      <c r="G37" s="28" t="s">
        <v>99</v>
      </c>
      <c r="H37" s="28" t="s">
        <v>138</v>
      </c>
      <c r="I37" s="31">
        <v>43444</v>
      </c>
      <c r="J37" s="28" t="s">
        <v>277</v>
      </c>
      <c r="K37" s="28" t="s">
        <v>279</v>
      </c>
      <c r="L37" s="28" t="s">
        <v>277</v>
      </c>
      <c r="M37" s="28" t="s">
        <v>279</v>
      </c>
      <c r="N37" s="29">
        <v>2.37</v>
      </c>
      <c r="O37" s="28" t="s">
        <v>277</v>
      </c>
      <c r="P37" s="28" t="s">
        <v>279</v>
      </c>
      <c r="Q37" s="29">
        <v>2.19</v>
      </c>
      <c r="R37" s="172" t="str">
        <f t="shared" si="4"/>
        <v>A</v>
      </c>
      <c r="S37" s="175">
        <f t="shared" si="5"/>
        <v>1</v>
      </c>
      <c r="T37" s="175">
        <f t="shared" si="6"/>
        <v>1</v>
      </c>
      <c r="U37" s="175">
        <f t="shared" si="7"/>
        <v>0</v>
      </c>
      <c r="V37" s="179" t="str">
        <f t="shared" si="8"/>
        <v>Epinephelus malabaricus</v>
      </c>
      <c r="W37" s="179" t="str">
        <f t="shared" si="9"/>
        <v>Epinephelus malabaricus</v>
      </c>
      <c r="X37" s="175">
        <f t="shared" si="10"/>
        <v>0</v>
      </c>
      <c r="Y37" s="175">
        <f t="shared" si="11"/>
        <v>0</v>
      </c>
      <c r="Z37" s="175">
        <f t="shared" si="12"/>
        <v>0</v>
      </c>
      <c r="AA37" s="175">
        <f t="shared" si="13"/>
        <v>0</v>
      </c>
    </row>
    <row r="38" spans="4:27" ht="15" customHeight="1" x14ac:dyDescent="0.25">
      <c r="D38" s="170">
        <v>1</v>
      </c>
      <c r="E38" s="170">
        <v>1</v>
      </c>
      <c r="F38" s="28" t="s">
        <v>249</v>
      </c>
      <c r="G38" s="28" t="s">
        <v>99</v>
      </c>
      <c r="H38" s="28" t="s">
        <v>138</v>
      </c>
      <c r="I38" s="31">
        <v>43084</v>
      </c>
      <c r="J38" s="28" t="s">
        <v>277</v>
      </c>
      <c r="K38" s="28" t="s">
        <v>279</v>
      </c>
      <c r="L38" s="28" t="s">
        <v>277</v>
      </c>
      <c r="M38" s="28" t="s">
        <v>279</v>
      </c>
      <c r="N38" s="29">
        <v>2.38</v>
      </c>
      <c r="O38" s="28" t="s">
        <v>277</v>
      </c>
      <c r="P38" s="28" t="s">
        <v>279</v>
      </c>
      <c r="Q38" s="29">
        <v>2.2200000000000002</v>
      </c>
      <c r="R38" s="172" t="str">
        <f t="shared" si="4"/>
        <v>A</v>
      </c>
      <c r="S38" s="175">
        <f t="shared" si="5"/>
        <v>1</v>
      </c>
      <c r="T38" s="175">
        <f t="shared" si="6"/>
        <v>1</v>
      </c>
      <c r="U38" s="175">
        <f t="shared" si="7"/>
        <v>0</v>
      </c>
      <c r="V38" s="179" t="str">
        <f t="shared" si="8"/>
        <v>Epinephelus malabaricus</v>
      </c>
      <c r="W38" s="179" t="str">
        <f t="shared" si="9"/>
        <v>Epinephelus malabaricus</v>
      </c>
      <c r="X38" s="175">
        <f t="shared" si="10"/>
        <v>0</v>
      </c>
      <c r="Y38" s="175">
        <f t="shared" si="11"/>
        <v>0</v>
      </c>
      <c r="Z38" s="175">
        <f t="shared" si="12"/>
        <v>0</v>
      </c>
      <c r="AA38" s="175">
        <f t="shared" si="13"/>
        <v>0</v>
      </c>
    </row>
    <row r="39" spans="4:27" ht="15" customHeight="1" x14ac:dyDescent="0.25">
      <c r="D39" s="170">
        <v>1</v>
      </c>
      <c r="E39" s="170">
        <v>1</v>
      </c>
      <c r="F39" s="28" t="s">
        <v>250</v>
      </c>
      <c r="G39" s="28" t="s">
        <v>99</v>
      </c>
      <c r="H39" s="28" t="s">
        <v>138</v>
      </c>
      <c r="I39" s="31">
        <v>43084</v>
      </c>
      <c r="J39" s="28" t="s">
        <v>277</v>
      </c>
      <c r="K39" s="28" t="s">
        <v>279</v>
      </c>
      <c r="L39" s="28" t="s">
        <v>277</v>
      </c>
      <c r="M39" s="28" t="s">
        <v>279</v>
      </c>
      <c r="N39" s="29">
        <v>2.5299999999999998</v>
      </c>
      <c r="O39" s="28" t="s">
        <v>277</v>
      </c>
      <c r="P39" s="28" t="s">
        <v>279</v>
      </c>
      <c r="Q39" s="29">
        <v>2.34</v>
      </c>
      <c r="R39" s="172" t="str">
        <f t="shared" si="4"/>
        <v>A</v>
      </c>
      <c r="S39" s="175">
        <f t="shared" si="5"/>
        <v>1</v>
      </c>
      <c r="T39" s="175">
        <f t="shared" si="6"/>
        <v>1</v>
      </c>
      <c r="U39" s="175">
        <f t="shared" si="7"/>
        <v>0</v>
      </c>
      <c r="V39" s="179" t="str">
        <f t="shared" si="8"/>
        <v>Epinephelus malabaricus</v>
      </c>
      <c r="W39" s="179" t="str">
        <f t="shared" si="9"/>
        <v>Epinephelus malabaricus</v>
      </c>
      <c r="X39" s="175">
        <f t="shared" si="10"/>
        <v>0</v>
      </c>
      <c r="Y39" s="175">
        <f t="shared" si="11"/>
        <v>0</v>
      </c>
      <c r="Z39" s="175">
        <f t="shared" si="12"/>
        <v>0</v>
      </c>
      <c r="AA39" s="175">
        <f t="shared" si="13"/>
        <v>0</v>
      </c>
    </row>
    <row r="40" spans="4:27" ht="15" customHeight="1" x14ac:dyDescent="0.25">
      <c r="D40" s="170">
        <v>1</v>
      </c>
      <c r="E40" s="170">
        <v>1</v>
      </c>
      <c r="F40" s="28" t="s">
        <v>251</v>
      </c>
      <c r="G40" s="28" t="s">
        <v>99</v>
      </c>
      <c r="H40" s="28" t="s">
        <v>138</v>
      </c>
      <c r="I40" s="31">
        <v>43414</v>
      </c>
      <c r="J40" s="28" t="s">
        <v>277</v>
      </c>
      <c r="K40" s="28" t="s">
        <v>279</v>
      </c>
      <c r="L40" s="28" t="s">
        <v>277</v>
      </c>
      <c r="M40" s="28" t="s">
        <v>279</v>
      </c>
      <c r="N40" s="29">
        <v>2.21</v>
      </c>
      <c r="O40" s="28" t="s">
        <v>277</v>
      </c>
      <c r="P40" s="28" t="s">
        <v>279</v>
      </c>
      <c r="Q40" s="29">
        <v>2.04</v>
      </c>
      <c r="R40" s="172" t="str">
        <f t="shared" si="4"/>
        <v>A</v>
      </c>
      <c r="S40" s="175">
        <f t="shared" si="5"/>
        <v>1</v>
      </c>
      <c r="T40" s="175">
        <f t="shared" si="6"/>
        <v>1</v>
      </c>
      <c r="U40" s="175">
        <f t="shared" si="7"/>
        <v>0</v>
      </c>
      <c r="V40" s="179" t="str">
        <f t="shared" si="8"/>
        <v>Epinephelus malabaricus</v>
      </c>
      <c r="W40" s="179" t="str">
        <f t="shared" si="9"/>
        <v>Epinephelus malabaricus</v>
      </c>
      <c r="X40" s="175">
        <f t="shared" si="10"/>
        <v>0</v>
      </c>
      <c r="Y40" s="175">
        <f t="shared" si="11"/>
        <v>0</v>
      </c>
      <c r="Z40" s="175">
        <f t="shared" si="12"/>
        <v>0</v>
      </c>
      <c r="AA40" s="175">
        <f t="shared" si="13"/>
        <v>0</v>
      </c>
    </row>
    <row r="41" spans="4:27" ht="15" customHeight="1" x14ac:dyDescent="0.25">
      <c r="D41" s="170">
        <v>1</v>
      </c>
      <c r="E41" s="170">
        <v>1</v>
      </c>
      <c r="F41" s="28" t="s">
        <v>252</v>
      </c>
      <c r="G41" s="28" t="s">
        <v>99</v>
      </c>
      <c r="H41" s="28" t="s">
        <v>138</v>
      </c>
      <c r="I41" s="31">
        <v>43418</v>
      </c>
      <c r="J41" s="28" t="s">
        <v>277</v>
      </c>
      <c r="K41" s="28" t="s">
        <v>279</v>
      </c>
      <c r="L41" s="28" t="s">
        <v>277</v>
      </c>
      <c r="M41" s="28" t="s">
        <v>279</v>
      </c>
      <c r="N41" s="29">
        <v>2.2000000000000002</v>
      </c>
      <c r="O41" s="28" t="s">
        <v>277</v>
      </c>
      <c r="P41" s="28" t="s">
        <v>279</v>
      </c>
      <c r="Q41" s="29">
        <v>2.1</v>
      </c>
      <c r="R41" s="172" t="str">
        <f t="shared" si="4"/>
        <v>A</v>
      </c>
      <c r="S41" s="175">
        <f t="shared" si="5"/>
        <v>1</v>
      </c>
      <c r="T41" s="175">
        <f t="shared" si="6"/>
        <v>1</v>
      </c>
      <c r="U41" s="175">
        <f t="shared" si="7"/>
        <v>0</v>
      </c>
      <c r="V41" s="179" t="str">
        <f t="shared" si="8"/>
        <v>Epinephelus malabaricus</v>
      </c>
      <c r="W41" s="179" t="str">
        <f t="shared" si="9"/>
        <v>Epinephelus malabaricus</v>
      </c>
      <c r="X41" s="175">
        <f t="shared" si="10"/>
        <v>0</v>
      </c>
      <c r="Y41" s="175">
        <f t="shared" si="11"/>
        <v>0</v>
      </c>
      <c r="Z41" s="175">
        <f t="shared" si="12"/>
        <v>0</v>
      </c>
      <c r="AA41" s="175">
        <f t="shared" si="13"/>
        <v>0</v>
      </c>
    </row>
    <row r="42" spans="4:27" ht="15" customHeight="1" x14ac:dyDescent="0.25">
      <c r="D42" s="170">
        <v>1</v>
      </c>
      <c r="E42" s="170">
        <v>1</v>
      </c>
      <c r="F42" s="28" t="s">
        <v>253</v>
      </c>
      <c r="G42" s="28" t="s">
        <v>99</v>
      </c>
      <c r="H42" s="28" t="s">
        <v>138</v>
      </c>
      <c r="I42" s="31">
        <v>43385</v>
      </c>
      <c r="J42" s="28" t="s">
        <v>277</v>
      </c>
      <c r="K42" s="28" t="s">
        <v>279</v>
      </c>
      <c r="L42" s="28" t="s">
        <v>277</v>
      </c>
      <c r="M42" s="28" t="s">
        <v>279</v>
      </c>
      <c r="N42" s="29">
        <v>2.44</v>
      </c>
      <c r="O42" s="28" t="s">
        <v>277</v>
      </c>
      <c r="P42" s="28" t="s">
        <v>279</v>
      </c>
      <c r="Q42" s="29">
        <v>2.31</v>
      </c>
      <c r="R42" s="172" t="str">
        <f t="shared" si="4"/>
        <v>A</v>
      </c>
      <c r="S42" s="175">
        <f t="shared" si="5"/>
        <v>1</v>
      </c>
      <c r="T42" s="175">
        <f t="shared" si="6"/>
        <v>1</v>
      </c>
      <c r="U42" s="175">
        <f t="shared" si="7"/>
        <v>0</v>
      </c>
      <c r="V42" s="179" t="str">
        <f t="shared" si="8"/>
        <v>Epinephelus malabaricus</v>
      </c>
      <c r="W42" s="179" t="str">
        <f t="shared" si="9"/>
        <v>Epinephelus malabaricus</v>
      </c>
      <c r="X42" s="175">
        <f t="shared" si="10"/>
        <v>0</v>
      </c>
      <c r="Y42" s="175">
        <f t="shared" si="11"/>
        <v>0</v>
      </c>
      <c r="Z42" s="175">
        <f t="shared" si="12"/>
        <v>0</v>
      </c>
      <c r="AA42" s="175">
        <f t="shared" si="13"/>
        <v>0</v>
      </c>
    </row>
    <row r="43" spans="4:27" ht="15" customHeight="1" x14ac:dyDescent="0.25">
      <c r="D43" s="170">
        <v>1</v>
      </c>
      <c r="E43" s="170">
        <v>1</v>
      </c>
      <c r="F43" s="28" t="s">
        <v>254</v>
      </c>
      <c r="G43" s="28" t="s">
        <v>99</v>
      </c>
      <c r="H43" s="28" t="s">
        <v>138</v>
      </c>
      <c r="I43" s="31">
        <v>44224</v>
      </c>
      <c r="J43" s="28" t="s">
        <v>277</v>
      </c>
      <c r="K43" s="28" t="s">
        <v>279</v>
      </c>
      <c r="L43" s="28" t="s">
        <v>277</v>
      </c>
      <c r="M43" s="28" t="s">
        <v>279</v>
      </c>
      <c r="N43" s="29">
        <v>2.2000000000000002</v>
      </c>
      <c r="O43" s="28" t="s">
        <v>277</v>
      </c>
      <c r="P43" s="28" t="s">
        <v>279</v>
      </c>
      <c r="Q43" s="29">
        <v>2</v>
      </c>
      <c r="R43" s="172" t="str">
        <f t="shared" si="4"/>
        <v>A</v>
      </c>
      <c r="S43" s="175">
        <f t="shared" si="5"/>
        <v>1</v>
      </c>
      <c r="T43" s="175">
        <f t="shared" si="6"/>
        <v>1</v>
      </c>
      <c r="U43" s="175">
        <f t="shared" si="7"/>
        <v>0</v>
      </c>
      <c r="V43" s="179" t="str">
        <f t="shared" si="8"/>
        <v>Epinephelus malabaricus</v>
      </c>
      <c r="W43" s="179" t="str">
        <f t="shared" si="9"/>
        <v>Epinephelus malabaricus</v>
      </c>
      <c r="X43" s="175">
        <f t="shared" si="10"/>
        <v>0</v>
      </c>
      <c r="Y43" s="175">
        <f t="shared" si="11"/>
        <v>0</v>
      </c>
      <c r="Z43" s="175">
        <f t="shared" si="12"/>
        <v>0</v>
      </c>
      <c r="AA43" s="175">
        <f t="shared" si="13"/>
        <v>0</v>
      </c>
    </row>
    <row r="44" spans="4:27" ht="15" customHeight="1" x14ac:dyDescent="0.25">
      <c r="D44" s="170">
        <v>1</v>
      </c>
      <c r="E44" s="170">
        <v>1</v>
      </c>
      <c r="F44" s="28" t="s">
        <v>255</v>
      </c>
      <c r="G44" s="28" t="s">
        <v>99</v>
      </c>
      <c r="H44" s="28" t="s">
        <v>138</v>
      </c>
      <c r="I44" s="31">
        <v>43392</v>
      </c>
      <c r="J44" s="28" t="s">
        <v>277</v>
      </c>
      <c r="K44" s="28" t="s">
        <v>279</v>
      </c>
      <c r="L44" s="28" t="s">
        <v>277</v>
      </c>
      <c r="M44" s="28" t="s">
        <v>279</v>
      </c>
      <c r="N44" s="29">
        <v>2.2999999999999998</v>
      </c>
      <c r="O44" s="28" t="s">
        <v>277</v>
      </c>
      <c r="P44" s="28" t="s">
        <v>279</v>
      </c>
      <c r="Q44" s="29">
        <v>2.08</v>
      </c>
      <c r="R44" s="172" t="str">
        <f t="shared" si="4"/>
        <v>A</v>
      </c>
      <c r="S44" s="175">
        <f t="shared" si="5"/>
        <v>1</v>
      </c>
      <c r="T44" s="175">
        <f t="shared" si="6"/>
        <v>1</v>
      </c>
      <c r="U44" s="175">
        <f t="shared" si="7"/>
        <v>0</v>
      </c>
      <c r="V44" s="179" t="str">
        <f t="shared" si="8"/>
        <v>Epinephelus malabaricus</v>
      </c>
      <c r="W44" s="179" t="str">
        <f t="shared" si="9"/>
        <v>Epinephelus malabaricus</v>
      </c>
      <c r="X44" s="175">
        <f t="shared" si="10"/>
        <v>0</v>
      </c>
      <c r="Y44" s="175">
        <f t="shared" si="11"/>
        <v>0</v>
      </c>
      <c r="Z44" s="175">
        <f t="shared" si="12"/>
        <v>0</v>
      </c>
      <c r="AA44" s="175">
        <f t="shared" si="13"/>
        <v>0</v>
      </c>
    </row>
    <row r="45" spans="4:27" ht="15" customHeight="1" x14ac:dyDescent="0.25">
      <c r="D45" s="170">
        <v>1</v>
      </c>
      <c r="E45" s="170">
        <v>1</v>
      </c>
      <c r="F45" s="28" t="s">
        <v>256</v>
      </c>
      <c r="G45" s="28" t="s">
        <v>99</v>
      </c>
      <c r="H45" s="28" t="s">
        <v>138</v>
      </c>
      <c r="I45" s="31">
        <v>43390</v>
      </c>
      <c r="J45" s="28" t="s">
        <v>277</v>
      </c>
      <c r="K45" s="28" t="s">
        <v>279</v>
      </c>
      <c r="L45" s="28" t="s">
        <v>277</v>
      </c>
      <c r="M45" s="28" t="s">
        <v>279</v>
      </c>
      <c r="N45" s="29">
        <v>2.16</v>
      </c>
      <c r="O45" s="28" t="s">
        <v>277</v>
      </c>
      <c r="P45" s="28" t="s">
        <v>279</v>
      </c>
      <c r="Q45" s="29">
        <v>2.16</v>
      </c>
      <c r="R45" s="172" t="str">
        <f t="shared" si="4"/>
        <v>A</v>
      </c>
      <c r="S45" s="175">
        <f t="shared" si="5"/>
        <v>1</v>
      </c>
      <c r="T45" s="175">
        <f t="shared" si="6"/>
        <v>1</v>
      </c>
      <c r="U45" s="175">
        <f t="shared" si="7"/>
        <v>0</v>
      </c>
      <c r="V45" s="179" t="str">
        <f t="shared" si="8"/>
        <v>Epinephelus malabaricus</v>
      </c>
      <c r="W45" s="179" t="str">
        <f t="shared" si="9"/>
        <v>Epinephelus malabaricus</v>
      </c>
      <c r="X45" s="175">
        <f t="shared" si="10"/>
        <v>0</v>
      </c>
      <c r="Y45" s="175">
        <f t="shared" si="11"/>
        <v>0</v>
      </c>
      <c r="Z45" s="175">
        <f t="shared" si="12"/>
        <v>0</v>
      </c>
      <c r="AA45" s="175">
        <f t="shared" si="13"/>
        <v>0</v>
      </c>
    </row>
    <row r="46" spans="4:27" ht="15" customHeight="1" x14ac:dyDescent="0.25">
      <c r="D46" s="170">
        <v>1</v>
      </c>
      <c r="E46" s="170">
        <v>1</v>
      </c>
      <c r="F46" s="28" t="s">
        <v>257</v>
      </c>
      <c r="G46" s="28" t="s">
        <v>99</v>
      </c>
      <c r="H46" s="28" t="s">
        <v>138</v>
      </c>
      <c r="I46" s="31">
        <v>43547</v>
      </c>
      <c r="J46" s="28" t="s">
        <v>277</v>
      </c>
      <c r="K46" s="28" t="s">
        <v>279</v>
      </c>
      <c r="L46" s="28" t="s">
        <v>277</v>
      </c>
      <c r="M46" s="28" t="s">
        <v>279</v>
      </c>
      <c r="N46" s="29">
        <v>2.19</v>
      </c>
      <c r="O46" s="28" t="s">
        <v>277</v>
      </c>
      <c r="P46" s="28" t="s">
        <v>279</v>
      </c>
      <c r="Q46" s="29">
        <v>2.19</v>
      </c>
      <c r="R46" s="172" t="str">
        <f t="shared" si="4"/>
        <v>A</v>
      </c>
      <c r="S46" s="175">
        <f t="shared" si="5"/>
        <v>1</v>
      </c>
      <c r="T46" s="175">
        <f t="shared" si="6"/>
        <v>1</v>
      </c>
      <c r="U46" s="175">
        <f t="shared" si="7"/>
        <v>0</v>
      </c>
      <c r="V46" s="179" t="str">
        <f t="shared" si="8"/>
        <v>Epinephelus malabaricus</v>
      </c>
      <c r="W46" s="179" t="str">
        <f t="shared" si="9"/>
        <v>Epinephelus malabaricus</v>
      </c>
      <c r="X46" s="175">
        <f t="shared" si="10"/>
        <v>0</v>
      </c>
      <c r="Y46" s="175">
        <f t="shared" si="11"/>
        <v>0</v>
      </c>
      <c r="Z46" s="175">
        <f t="shared" si="12"/>
        <v>0</v>
      </c>
      <c r="AA46" s="175">
        <f t="shared" si="13"/>
        <v>0</v>
      </c>
    </row>
    <row r="47" spans="4:27" ht="15" customHeight="1" x14ac:dyDescent="0.25">
      <c r="D47" s="170">
        <v>1</v>
      </c>
      <c r="E47" s="170">
        <v>1</v>
      </c>
      <c r="F47" s="28" t="s">
        <v>258</v>
      </c>
      <c r="G47" s="28" t="s">
        <v>99</v>
      </c>
      <c r="H47" s="28" t="s">
        <v>138</v>
      </c>
      <c r="I47" s="31">
        <v>44239</v>
      </c>
      <c r="J47" s="28" t="s">
        <v>277</v>
      </c>
      <c r="K47" s="28" t="s">
        <v>279</v>
      </c>
      <c r="L47" s="28" t="s">
        <v>277</v>
      </c>
      <c r="M47" s="28" t="s">
        <v>279</v>
      </c>
      <c r="N47" s="29">
        <v>2.1800000000000002</v>
      </c>
      <c r="O47" s="28" t="s">
        <v>277</v>
      </c>
      <c r="P47" s="28" t="s">
        <v>279</v>
      </c>
      <c r="Q47" s="29">
        <v>2</v>
      </c>
      <c r="R47" s="172" t="str">
        <f t="shared" si="4"/>
        <v>A</v>
      </c>
      <c r="S47" s="175">
        <f t="shared" si="5"/>
        <v>1</v>
      </c>
      <c r="T47" s="175">
        <f t="shared" si="6"/>
        <v>1</v>
      </c>
      <c r="U47" s="175">
        <f t="shared" si="7"/>
        <v>0</v>
      </c>
      <c r="V47" s="179" t="str">
        <f t="shared" si="8"/>
        <v>Epinephelus malabaricus</v>
      </c>
      <c r="W47" s="179" t="str">
        <f t="shared" si="9"/>
        <v>Epinephelus malabaricus</v>
      </c>
      <c r="X47" s="175">
        <f t="shared" si="10"/>
        <v>0</v>
      </c>
      <c r="Y47" s="175">
        <f t="shared" si="11"/>
        <v>0</v>
      </c>
      <c r="Z47" s="175">
        <f t="shared" si="12"/>
        <v>0</v>
      </c>
      <c r="AA47" s="175">
        <f t="shared" si="13"/>
        <v>0</v>
      </c>
    </row>
    <row r="48" spans="4:27" ht="15" customHeight="1" x14ac:dyDescent="0.25">
      <c r="D48" s="170">
        <v>1</v>
      </c>
      <c r="E48" s="170">
        <v>1</v>
      </c>
      <c r="F48" s="28" t="s">
        <v>259</v>
      </c>
      <c r="G48" s="28" t="s">
        <v>99</v>
      </c>
      <c r="H48" s="28" t="s">
        <v>138</v>
      </c>
      <c r="I48" s="31">
        <v>43547</v>
      </c>
      <c r="J48" s="28" t="s">
        <v>277</v>
      </c>
      <c r="K48" s="28" t="s">
        <v>279</v>
      </c>
      <c r="L48" s="28" t="s">
        <v>277</v>
      </c>
      <c r="M48" s="28" t="s">
        <v>279</v>
      </c>
      <c r="N48" s="29">
        <v>2.37</v>
      </c>
      <c r="O48" s="28" t="s">
        <v>277</v>
      </c>
      <c r="P48" s="28" t="s">
        <v>279</v>
      </c>
      <c r="Q48" s="29">
        <v>2.35</v>
      </c>
      <c r="R48" s="172" t="str">
        <f t="shared" si="4"/>
        <v>A</v>
      </c>
      <c r="S48" s="175">
        <f t="shared" si="5"/>
        <v>1</v>
      </c>
      <c r="T48" s="175">
        <f t="shared" si="6"/>
        <v>1</v>
      </c>
      <c r="U48" s="175">
        <f t="shared" si="7"/>
        <v>0</v>
      </c>
      <c r="V48" s="179" t="str">
        <f t="shared" si="8"/>
        <v>Epinephelus malabaricus</v>
      </c>
      <c r="W48" s="179" t="str">
        <f t="shared" si="9"/>
        <v>Epinephelus malabaricus</v>
      </c>
      <c r="X48" s="175">
        <f t="shared" si="10"/>
        <v>0</v>
      </c>
      <c r="Y48" s="175">
        <f t="shared" si="11"/>
        <v>0</v>
      </c>
      <c r="Z48" s="175">
        <f t="shared" si="12"/>
        <v>0</v>
      </c>
      <c r="AA48" s="175">
        <f t="shared" si="13"/>
        <v>0</v>
      </c>
    </row>
    <row r="49" spans="4:27" ht="15" customHeight="1" x14ac:dyDescent="0.25">
      <c r="D49" s="170">
        <v>1</v>
      </c>
      <c r="E49" s="170">
        <v>1</v>
      </c>
      <c r="F49" s="28" t="s">
        <v>260</v>
      </c>
      <c r="G49" s="28" t="s">
        <v>99</v>
      </c>
      <c r="H49" s="28" t="s">
        <v>138</v>
      </c>
      <c r="I49" s="31">
        <v>44236</v>
      </c>
      <c r="J49" s="28" t="s">
        <v>277</v>
      </c>
      <c r="K49" s="28" t="s">
        <v>279</v>
      </c>
      <c r="L49" s="28" t="s">
        <v>277</v>
      </c>
      <c r="M49" s="28" t="s">
        <v>279</v>
      </c>
      <c r="N49" s="29">
        <v>2.4300000000000002</v>
      </c>
      <c r="O49" s="28" t="s">
        <v>277</v>
      </c>
      <c r="P49" s="28" t="s">
        <v>279</v>
      </c>
      <c r="Q49" s="29">
        <v>2.1800000000000002</v>
      </c>
      <c r="R49" s="172" t="str">
        <f t="shared" si="4"/>
        <v>A</v>
      </c>
      <c r="S49" s="175">
        <f t="shared" si="5"/>
        <v>1</v>
      </c>
      <c r="T49" s="175">
        <f t="shared" si="6"/>
        <v>1</v>
      </c>
      <c r="U49" s="175">
        <f t="shared" si="7"/>
        <v>0</v>
      </c>
      <c r="V49" s="179" t="str">
        <f t="shared" si="8"/>
        <v>Epinephelus malabaricus</v>
      </c>
      <c r="W49" s="179" t="str">
        <f t="shared" si="9"/>
        <v>Epinephelus malabaricus</v>
      </c>
      <c r="X49" s="175">
        <f t="shared" si="10"/>
        <v>0</v>
      </c>
      <c r="Y49" s="175">
        <f t="shared" si="11"/>
        <v>0</v>
      </c>
      <c r="Z49" s="175">
        <f t="shared" si="12"/>
        <v>0</v>
      </c>
      <c r="AA49" s="175">
        <f t="shared" si="13"/>
        <v>0</v>
      </c>
    </row>
    <row r="50" spans="4:27" ht="15" customHeight="1" x14ac:dyDescent="0.25">
      <c r="D50" s="170">
        <v>1</v>
      </c>
      <c r="E50" s="170">
        <v>1</v>
      </c>
      <c r="F50" s="28" t="s">
        <v>261</v>
      </c>
      <c r="G50" s="28" t="s">
        <v>99</v>
      </c>
      <c r="H50" s="28" t="s">
        <v>138</v>
      </c>
      <c r="I50" s="31">
        <v>44239</v>
      </c>
      <c r="J50" s="28" t="s">
        <v>277</v>
      </c>
      <c r="K50" s="28" t="s">
        <v>279</v>
      </c>
      <c r="L50" s="28" t="s">
        <v>277</v>
      </c>
      <c r="M50" s="28" t="s">
        <v>279</v>
      </c>
      <c r="N50" s="29">
        <v>2.33</v>
      </c>
      <c r="O50" s="28" t="s">
        <v>277</v>
      </c>
      <c r="P50" s="28" t="s">
        <v>279</v>
      </c>
      <c r="Q50" s="29">
        <v>2.2000000000000002</v>
      </c>
      <c r="R50" s="172" t="str">
        <f t="shared" si="4"/>
        <v>A</v>
      </c>
      <c r="S50" s="175">
        <f t="shared" si="5"/>
        <v>1</v>
      </c>
      <c r="T50" s="175">
        <f t="shared" si="6"/>
        <v>1</v>
      </c>
      <c r="U50" s="175">
        <f t="shared" si="7"/>
        <v>0</v>
      </c>
      <c r="V50" s="179" t="str">
        <f t="shared" si="8"/>
        <v>Epinephelus malabaricus</v>
      </c>
      <c r="W50" s="179" t="str">
        <f t="shared" si="9"/>
        <v>Epinephelus malabaricus</v>
      </c>
      <c r="X50" s="175">
        <f t="shared" si="10"/>
        <v>0</v>
      </c>
      <c r="Y50" s="175">
        <f t="shared" si="11"/>
        <v>0</v>
      </c>
      <c r="Z50" s="175">
        <f t="shared" si="12"/>
        <v>0</v>
      </c>
      <c r="AA50" s="175">
        <f t="shared" si="13"/>
        <v>0</v>
      </c>
    </row>
    <row r="51" spans="4:27" ht="15" customHeight="1" x14ac:dyDescent="0.25">
      <c r="D51" s="170">
        <v>1</v>
      </c>
      <c r="E51" s="170">
        <v>1</v>
      </c>
      <c r="F51" s="28" t="s">
        <v>262</v>
      </c>
      <c r="G51" s="28" t="s">
        <v>99</v>
      </c>
      <c r="H51" s="28" t="s">
        <v>138</v>
      </c>
      <c r="I51" s="31">
        <v>43547</v>
      </c>
      <c r="J51" s="28" t="s">
        <v>277</v>
      </c>
      <c r="K51" s="28" t="s">
        <v>279</v>
      </c>
      <c r="L51" s="28" t="s">
        <v>277</v>
      </c>
      <c r="M51" s="28" t="s">
        <v>279</v>
      </c>
      <c r="N51" s="29">
        <v>2.13</v>
      </c>
      <c r="O51" s="28" t="s">
        <v>277</v>
      </c>
      <c r="P51" s="28" t="s">
        <v>279</v>
      </c>
      <c r="Q51" s="29">
        <v>2.09</v>
      </c>
      <c r="R51" s="172" t="str">
        <f t="shared" si="4"/>
        <v>A</v>
      </c>
      <c r="S51" s="175">
        <f t="shared" si="5"/>
        <v>1</v>
      </c>
      <c r="T51" s="175">
        <f t="shared" si="6"/>
        <v>1</v>
      </c>
      <c r="U51" s="175">
        <f t="shared" si="7"/>
        <v>0</v>
      </c>
      <c r="V51" s="179" t="str">
        <f t="shared" si="8"/>
        <v>Epinephelus malabaricus</v>
      </c>
      <c r="W51" s="179" t="str">
        <f t="shared" si="9"/>
        <v>Epinephelus malabaricus</v>
      </c>
      <c r="X51" s="175">
        <f t="shared" si="10"/>
        <v>0</v>
      </c>
      <c r="Y51" s="175">
        <f t="shared" si="11"/>
        <v>0</v>
      </c>
      <c r="Z51" s="175">
        <f t="shared" si="12"/>
        <v>0</v>
      </c>
      <c r="AA51" s="175">
        <f t="shared" si="13"/>
        <v>0</v>
      </c>
    </row>
    <row r="52" spans="4:27" ht="15" customHeight="1" x14ac:dyDescent="0.25">
      <c r="D52" s="170">
        <v>1</v>
      </c>
      <c r="E52" s="170">
        <v>1</v>
      </c>
      <c r="F52" s="28" t="s">
        <v>263</v>
      </c>
      <c r="G52" s="28" t="s">
        <v>99</v>
      </c>
      <c r="H52" s="28" t="s">
        <v>138</v>
      </c>
      <c r="I52" s="31">
        <v>43547</v>
      </c>
      <c r="J52" s="28" t="s">
        <v>277</v>
      </c>
      <c r="K52" s="28" t="s">
        <v>279</v>
      </c>
      <c r="L52" s="28" t="s">
        <v>277</v>
      </c>
      <c r="M52" s="28" t="s">
        <v>279</v>
      </c>
      <c r="N52" s="29">
        <v>2.08</v>
      </c>
      <c r="O52" s="28" t="s">
        <v>277</v>
      </c>
      <c r="P52" s="28" t="s">
        <v>279</v>
      </c>
      <c r="Q52" s="29">
        <v>2.0499999999999998</v>
      </c>
      <c r="R52" s="172" t="str">
        <f t="shared" si="4"/>
        <v>A</v>
      </c>
      <c r="S52" s="175">
        <f t="shared" si="5"/>
        <v>1</v>
      </c>
      <c r="T52" s="175">
        <f t="shared" si="6"/>
        <v>1</v>
      </c>
      <c r="U52" s="175">
        <f t="shared" si="7"/>
        <v>0</v>
      </c>
      <c r="V52" s="179" t="str">
        <f t="shared" si="8"/>
        <v>Epinephelus malabaricus</v>
      </c>
      <c r="W52" s="179" t="str">
        <f t="shared" si="9"/>
        <v>Epinephelus malabaricus</v>
      </c>
      <c r="X52" s="175">
        <f t="shared" si="10"/>
        <v>0</v>
      </c>
      <c r="Y52" s="175">
        <f t="shared" si="11"/>
        <v>0</v>
      </c>
      <c r="Z52" s="175">
        <f t="shared" si="12"/>
        <v>0</v>
      </c>
      <c r="AA52" s="175">
        <f t="shared" si="13"/>
        <v>0</v>
      </c>
    </row>
    <row r="53" spans="4:27" ht="15" customHeight="1" x14ac:dyDescent="0.25">
      <c r="D53" s="170">
        <v>1</v>
      </c>
      <c r="E53" s="170">
        <v>1</v>
      </c>
      <c r="F53" s="28" t="s">
        <v>264</v>
      </c>
      <c r="G53" s="28" t="s">
        <v>99</v>
      </c>
      <c r="H53" s="28" t="s">
        <v>138</v>
      </c>
      <c r="I53" s="31">
        <v>44239</v>
      </c>
      <c r="J53" s="28" t="s">
        <v>277</v>
      </c>
      <c r="K53" s="28" t="s">
        <v>279</v>
      </c>
      <c r="L53" s="28" t="s">
        <v>277</v>
      </c>
      <c r="M53" s="28" t="s">
        <v>279</v>
      </c>
      <c r="N53" s="29">
        <v>2.38</v>
      </c>
      <c r="O53" s="28" t="s">
        <v>277</v>
      </c>
      <c r="P53" s="28" t="s">
        <v>279</v>
      </c>
      <c r="Q53" s="29">
        <v>2.2000000000000002</v>
      </c>
      <c r="R53" s="172" t="str">
        <f t="shared" si="4"/>
        <v>A</v>
      </c>
      <c r="S53" s="175">
        <f t="shared" si="5"/>
        <v>1</v>
      </c>
      <c r="T53" s="175">
        <f t="shared" si="6"/>
        <v>1</v>
      </c>
      <c r="U53" s="175">
        <f t="shared" si="7"/>
        <v>0</v>
      </c>
      <c r="V53" s="179" t="str">
        <f t="shared" si="8"/>
        <v>Epinephelus malabaricus</v>
      </c>
      <c r="W53" s="179" t="str">
        <f t="shared" si="9"/>
        <v>Epinephelus malabaricus</v>
      </c>
      <c r="X53" s="175">
        <f t="shared" si="10"/>
        <v>0</v>
      </c>
      <c r="Y53" s="175">
        <f t="shared" si="11"/>
        <v>0</v>
      </c>
      <c r="Z53" s="175">
        <f t="shared" si="12"/>
        <v>0</v>
      </c>
      <c r="AA53" s="175">
        <f t="shared" si="13"/>
        <v>0</v>
      </c>
    </row>
    <row r="54" spans="4:27" ht="15" customHeight="1" x14ac:dyDescent="0.25">
      <c r="D54" s="170">
        <v>1</v>
      </c>
      <c r="E54" s="170">
        <v>1</v>
      </c>
      <c r="F54" s="28" t="s">
        <v>265</v>
      </c>
      <c r="G54" s="28" t="s">
        <v>99</v>
      </c>
      <c r="H54" s="28" t="s">
        <v>138</v>
      </c>
      <c r="I54" s="31">
        <v>43756</v>
      </c>
      <c r="J54" s="28" t="s">
        <v>277</v>
      </c>
      <c r="K54" s="28" t="s">
        <v>279</v>
      </c>
      <c r="L54" s="28" t="s">
        <v>277</v>
      </c>
      <c r="M54" s="28" t="s">
        <v>279</v>
      </c>
      <c r="N54" s="29">
        <v>2.15</v>
      </c>
      <c r="O54" s="28" t="s">
        <v>277</v>
      </c>
      <c r="P54" s="28" t="s">
        <v>279</v>
      </c>
      <c r="Q54" s="29">
        <v>2.04</v>
      </c>
      <c r="R54" s="172" t="str">
        <f t="shared" si="4"/>
        <v>A</v>
      </c>
      <c r="S54" s="175">
        <f t="shared" si="5"/>
        <v>1</v>
      </c>
      <c r="T54" s="175">
        <f t="shared" si="6"/>
        <v>1</v>
      </c>
      <c r="U54" s="175">
        <f t="shared" si="7"/>
        <v>0</v>
      </c>
      <c r="V54" s="179" t="str">
        <f t="shared" si="8"/>
        <v>Epinephelus malabaricus</v>
      </c>
      <c r="W54" s="179" t="str">
        <f t="shared" si="9"/>
        <v>Epinephelus malabaricus</v>
      </c>
      <c r="X54" s="175">
        <f t="shared" si="10"/>
        <v>0</v>
      </c>
      <c r="Y54" s="175">
        <f t="shared" si="11"/>
        <v>0</v>
      </c>
      <c r="Z54" s="175">
        <f t="shared" si="12"/>
        <v>0</v>
      </c>
      <c r="AA54" s="175">
        <f t="shared" si="13"/>
        <v>0</v>
      </c>
    </row>
    <row r="55" spans="4:27" ht="15" customHeight="1" x14ac:dyDescent="0.25">
      <c r="D55" s="170">
        <v>1</v>
      </c>
      <c r="E55" s="170">
        <v>1</v>
      </c>
      <c r="F55" s="28" t="s">
        <v>266</v>
      </c>
      <c r="G55" s="28" t="s">
        <v>99</v>
      </c>
      <c r="H55" s="28" t="s">
        <v>138</v>
      </c>
      <c r="I55" s="31">
        <v>44239</v>
      </c>
      <c r="J55" s="28" t="s">
        <v>277</v>
      </c>
      <c r="K55" s="28" t="s">
        <v>279</v>
      </c>
      <c r="L55" s="28" t="s">
        <v>277</v>
      </c>
      <c r="M55" s="28" t="s">
        <v>279</v>
      </c>
      <c r="N55" s="29">
        <v>2.4900000000000002</v>
      </c>
      <c r="O55" s="28" t="s">
        <v>277</v>
      </c>
      <c r="P55" s="28" t="s">
        <v>279</v>
      </c>
      <c r="Q55" s="29">
        <v>2.36</v>
      </c>
      <c r="R55" s="172" t="str">
        <f t="shared" si="4"/>
        <v>A</v>
      </c>
      <c r="S55" s="175">
        <f t="shared" si="5"/>
        <v>1</v>
      </c>
      <c r="T55" s="175">
        <f t="shared" si="6"/>
        <v>1</v>
      </c>
      <c r="U55" s="175">
        <f t="shared" si="7"/>
        <v>0</v>
      </c>
      <c r="V55" s="179" t="str">
        <f t="shared" si="8"/>
        <v>Epinephelus malabaricus</v>
      </c>
      <c r="W55" s="179" t="str">
        <f t="shared" si="9"/>
        <v>Epinephelus malabaricus</v>
      </c>
      <c r="X55" s="175">
        <f t="shared" si="10"/>
        <v>0</v>
      </c>
      <c r="Y55" s="175">
        <f t="shared" si="11"/>
        <v>0</v>
      </c>
      <c r="Z55" s="175">
        <f t="shared" si="12"/>
        <v>0</v>
      </c>
      <c r="AA55" s="175">
        <f t="shared" si="13"/>
        <v>0</v>
      </c>
    </row>
    <row r="56" spans="4:27" ht="15" customHeight="1" x14ac:dyDescent="0.25">
      <c r="D56" s="170">
        <v>1</v>
      </c>
      <c r="E56" s="170">
        <v>1</v>
      </c>
      <c r="F56" s="28" t="s">
        <v>267</v>
      </c>
      <c r="G56" s="28" t="s">
        <v>99</v>
      </c>
      <c r="H56" s="28" t="s">
        <v>138</v>
      </c>
      <c r="I56" s="31">
        <v>43756</v>
      </c>
      <c r="J56" s="28" t="s">
        <v>277</v>
      </c>
      <c r="K56" s="28" t="s">
        <v>279</v>
      </c>
      <c r="L56" s="28" t="s">
        <v>277</v>
      </c>
      <c r="M56" s="28" t="s">
        <v>279</v>
      </c>
      <c r="N56" s="29">
        <v>2.1800000000000002</v>
      </c>
      <c r="O56" s="28" t="s">
        <v>277</v>
      </c>
      <c r="P56" s="28" t="s">
        <v>279</v>
      </c>
      <c r="Q56" s="29">
        <v>2.0099999999999998</v>
      </c>
      <c r="R56" s="172" t="str">
        <f t="shared" si="4"/>
        <v>A</v>
      </c>
      <c r="S56" s="175">
        <f t="shared" si="5"/>
        <v>1</v>
      </c>
      <c r="T56" s="175">
        <f t="shared" si="6"/>
        <v>1</v>
      </c>
      <c r="U56" s="175">
        <f t="shared" si="7"/>
        <v>0</v>
      </c>
      <c r="V56" s="179" t="str">
        <f t="shared" si="8"/>
        <v>Epinephelus malabaricus</v>
      </c>
      <c r="W56" s="179" t="str">
        <f t="shared" si="9"/>
        <v>Epinephelus malabaricus</v>
      </c>
      <c r="X56" s="175">
        <f t="shared" si="10"/>
        <v>0</v>
      </c>
      <c r="Y56" s="175">
        <f t="shared" si="11"/>
        <v>0</v>
      </c>
      <c r="Z56" s="175">
        <f t="shared" si="12"/>
        <v>0</v>
      </c>
      <c r="AA56" s="175">
        <f t="shared" si="13"/>
        <v>0</v>
      </c>
    </row>
    <row r="57" spans="4:27" ht="15" customHeight="1" x14ac:dyDescent="0.25">
      <c r="D57" s="170">
        <v>1</v>
      </c>
      <c r="E57" s="170">
        <v>1</v>
      </c>
      <c r="F57" s="28" t="s">
        <v>268</v>
      </c>
      <c r="G57" s="28" t="s">
        <v>99</v>
      </c>
      <c r="H57" s="28" t="s">
        <v>138</v>
      </c>
      <c r="I57" s="31">
        <v>43756</v>
      </c>
      <c r="J57" s="28" t="s">
        <v>277</v>
      </c>
      <c r="K57" s="28" t="s">
        <v>279</v>
      </c>
      <c r="L57" s="28" t="s">
        <v>277</v>
      </c>
      <c r="M57" s="28" t="s">
        <v>279</v>
      </c>
      <c r="N57" s="29">
        <v>2.4500000000000002</v>
      </c>
      <c r="O57" s="28" t="s">
        <v>277</v>
      </c>
      <c r="P57" s="28" t="s">
        <v>279</v>
      </c>
      <c r="Q57" s="29">
        <v>2.36</v>
      </c>
      <c r="R57" s="172" t="str">
        <f t="shared" si="4"/>
        <v>A</v>
      </c>
      <c r="S57" s="175">
        <f t="shared" si="5"/>
        <v>1</v>
      </c>
      <c r="T57" s="175">
        <f t="shared" si="6"/>
        <v>1</v>
      </c>
      <c r="U57" s="175">
        <f t="shared" si="7"/>
        <v>0</v>
      </c>
      <c r="V57" s="179" t="str">
        <f t="shared" si="8"/>
        <v>Epinephelus malabaricus</v>
      </c>
      <c r="W57" s="179" t="str">
        <f t="shared" si="9"/>
        <v>Epinephelus malabaricus</v>
      </c>
      <c r="X57" s="175">
        <f t="shared" si="10"/>
        <v>0</v>
      </c>
      <c r="Y57" s="175">
        <f t="shared" si="11"/>
        <v>0</v>
      </c>
      <c r="Z57" s="175">
        <f t="shared" si="12"/>
        <v>0</v>
      </c>
      <c r="AA57" s="175">
        <f t="shared" si="13"/>
        <v>0</v>
      </c>
    </row>
    <row r="58" spans="4:27" ht="15" customHeight="1" x14ac:dyDescent="0.25">
      <c r="D58" s="170">
        <v>1</v>
      </c>
      <c r="E58" s="170">
        <v>1</v>
      </c>
      <c r="F58" s="28" t="s">
        <v>269</v>
      </c>
      <c r="G58" s="28" t="s">
        <v>99</v>
      </c>
      <c r="H58" s="28" t="s">
        <v>138</v>
      </c>
      <c r="I58" s="31">
        <v>43756</v>
      </c>
      <c r="J58" s="28" t="s">
        <v>277</v>
      </c>
      <c r="K58" s="28" t="s">
        <v>279</v>
      </c>
      <c r="L58" s="28" t="s">
        <v>277</v>
      </c>
      <c r="M58" s="28" t="s">
        <v>279</v>
      </c>
      <c r="N58" s="29">
        <v>2.34</v>
      </c>
      <c r="O58" s="28" t="s">
        <v>277</v>
      </c>
      <c r="P58" s="28" t="s">
        <v>279</v>
      </c>
      <c r="Q58" s="29">
        <v>2.3199999999999998</v>
      </c>
      <c r="R58" s="172" t="str">
        <f t="shared" si="4"/>
        <v>A</v>
      </c>
      <c r="S58" s="175">
        <f t="shared" si="5"/>
        <v>1</v>
      </c>
      <c r="T58" s="175">
        <f t="shared" si="6"/>
        <v>1</v>
      </c>
      <c r="U58" s="175">
        <f t="shared" si="7"/>
        <v>0</v>
      </c>
      <c r="V58" s="179" t="str">
        <f t="shared" si="8"/>
        <v>Epinephelus malabaricus</v>
      </c>
      <c r="W58" s="179" t="str">
        <f t="shared" si="9"/>
        <v>Epinephelus malabaricus</v>
      </c>
      <c r="X58" s="175">
        <f t="shared" si="10"/>
        <v>0</v>
      </c>
      <c r="Y58" s="175">
        <f t="shared" si="11"/>
        <v>0</v>
      </c>
      <c r="Z58" s="175">
        <f t="shared" si="12"/>
        <v>0</v>
      </c>
      <c r="AA58" s="175">
        <f t="shared" si="13"/>
        <v>0</v>
      </c>
    </row>
    <row r="59" spans="4:27" ht="15" customHeight="1" x14ac:dyDescent="0.25">
      <c r="D59" s="170">
        <v>1</v>
      </c>
      <c r="E59" s="170">
        <v>1</v>
      </c>
      <c r="F59" s="28" t="s">
        <v>270</v>
      </c>
      <c r="G59" s="28" t="s">
        <v>99</v>
      </c>
      <c r="H59" s="28" t="s">
        <v>138</v>
      </c>
      <c r="I59" s="31">
        <v>43756</v>
      </c>
      <c r="J59" s="28" t="s">
        <v>277</v>
      </c>
      <c r="K59" s="28" t="s">
        <v>279</v>
      </c>
      <c r="L59" s="28" t="s">
        <v>277</v>
      </c>
      <c r="M59" s="28" t="s">
        <v>279</v>
      </c>
      <c r="N59" s="29">
        <v>2.08</v>
      </c>
      <c r="O59" s="28" t="s">
        <v>277</v>
      </c>
      <c r="P59" s="28" t="s">
        <v>279</v>
      </c>
      <c r="Q59" s="29">
        <v>2.0299999999999998</v>
      </c>
      <c r="R59" s="172" t="str">
        <f t="shared" ref="R59:R65" si="24">IF(OR(AND(N58&gt;=$B$20,Q58&lt;$B$21),AND(L58=O58,M58=P58,N58&gt;=$B$20,Q58&gt;=$B$20),AND(L58=O58,N58&gt;=$B$20,Q58&lt;2,Q58&gt;=$B$21)),"A",IF(OR(AND(N58&lt;$B$20,Q58&lt;$B$21),AND(L58=O58,OR(M58&lt;&gt;P58,M58=P58),N58&gt;=$B$21,Q58&gt;=$B$21)),"B",
IF(AND(L58&lt;&gt;O58,N58&gt;=$B$21,Q58&gt;=$B$21),"C",0)))</f>
        <v>A</v>
      </c>
      <c r="S59" s="175">
        <f t="shared" ref="S59:S65" si="25">1-U59+Z59</f>
        <v>1</v>
      </c>
      <c r="T59" s="175">
        <f t="shared" ref="T59:T65" si="26">IF(AND(L59=J59,M59=K59,N59&gt;=$B$20,R59="A"),1,0)</f>
        <v>1</v>
      </c>
      <c r="U59" s="175">
        <f t="shared" ref="U59:U65" si="27">IF(T59=1,0,1)</f>
        <v>0</v>
      </c>
      <c r="V59" s="179" t="str">
        <f t="shared" ref="V59:V65" si="28">L59&amp;" "&amp;M59</f>
        <v>Epinephelus malabaricus</v>
      </c>
      <c r="W59" s="179" t="str">
        <f t="shared" ref="W59:W65" si="29">O59&amp;" "&amp;P59</f>
        <v>Epinephelus malabaricus</v>
      </c>
      <c r="X59" s="175">
        <f t="shared" ref="X59:X65" si="30">IF(AND(V59=$B$1,N59&gt;=$B$20),1,0)</f>
        <v>0</v>
      </c>
      <c r="Y59" s="175">
        <f t="shared" ref="Y59:Y65" si="31">IF(AND(W59=$B$1,Q59&gt;=$B$20),1,0)</f>
        <v>0</v>
      </c>
      <c r="Z59" s="175">
        <f t="shared" ref="Z59:Z65" si="32">IF(AND(V59=$B$1,N59&gt;=$B$20,R59="A"),1,0)</f>
        <v>0</v>
      </c>
      <c r="AA59" s="175">
        <f t="shared" ref="AA59:AA65" si="33">IF(1-(X59+Y59)&gt;0,0,1)</f>
        <v>0</v>
      </c>
    </row>
    <row r="60" spans="4:27" ht="15" customHeight="1" x14ac:dyDescent="0.25">
      <c r="D60" s="170">
        <v>1</v>
      </c>
      <c r="E60" s="170">
        <v>1</v>
      </c>
      <c r="F60" s="28" t="s">
        <v>271</v>
      </c>
      <c r="G60" s="28" t="s">
        <v>99</v>
      </c>
      <c r="H60" s="28" t="s">
        <v>138</v>
      </c>
      <c r="I60" s="31">
        <v>44239</v>
      </c>
      <c r="J60" s="28" t="s">
        <v>277</v>
      </c>
      <c r="K60" s="28" t="s">
        <v>279</v>
      </c>
      <c r="L60" s="28" t="s">
        <v>277</v>
      </c>
      <c r="M60" s="28" t="s">
        <v>279</v>
      </c>
      <c r="N60" s="29">
        <v>2.37</v>
      </c>
      <c r="O60" s="28" t="s">
        <v>277</v>
      </c>
      <c r="P60" s="28" t="s">
        <v>279</v>
      </c>
      <c r="Q60" s="29">
        <v>2.04</v>
      </c>
      <c r="R60" s="172" t="str">
        <f t="shared" si="24"/>
        <v>A</v>
      </c>
      <c r="S60" s="175">
        <f t="shared" si="25"/>
        <v>1</v>
      </c>
      <c r="T60" s="175">
        <f t="shared" si="26"/>
        <v>1</v>
      </c>
      <c r="U60" s="175">
        <f t="shared" si="27"/>
        <v>0</v>
      </c>
      <c r="V60" s="179" t="str">
        <f t="shared" si="28"/>
        <v>Epinephelus malabaricus</v>
      </c>
      <c r="W60" s="179" t="str">
        <f t="shared" si="29"/>
        <v>Epinephelus malabaricus</v>
      </c>
      <c r="X60" s="175">
        <f t="shared" si="30"/>
        <v>0</v>
      </c>
      <c r="Y60" s="175">
        <f t="shared" si="31"/>
        <v>0</v>
      </c>
      <c r="Z60" s="175">
        <f t="shared" si="32"/>
        <v>0</v>
      </c>
      <c r="AA60" s="175">
        <f t="shared" si="33"/>
        <v>0</v>
      </c>
    </row>
    <row r="61" spans="4:27" ht="15" customHeight="1" x14ac:dyDescent="0.25">
      <c r="D61" s="170">
        <v>1</v>
      </c>
      <c r="E61" s="170">
        <v>1</v>
      </c>
      <c r="F61" s="28" t="s">
        <v>272</v>
      </c>
      <c r="G61" s="28" t="s">
        <v>99</v>
      </c>
      <c r="H61" s="28" t="s">
        <v>138</v>
      </c>
      <c r="I61" s="31">
        <v>44263</v>
      </c>
      <c r="J61" s="28" t="s">
        <v>277</v>
      </c>
      <c r="K61" s="28" t="s">
        <v>279</v>
      </c>
      <c r="L61" s="28" t="s">
        <v>277</v>
      </c>
      <c r="M61" s="28" t="s">
        <v>279</v>
      </c>
      <c r="N61" s="29">
        <v>2.12</v>
      </c>
      <c r="O61" s="28" t="s">
        <v>277</v>
      </c>
      <c r="P61" s="28" t="s">
        <v>279</v>
      </c>
      <c r="Q61" s="29">
        <v>2.0299999999999998</v>
      </c>
      <c r="R61" s="172" t="str">
        <f t="shared" si="24"/>
        <v>A</v>
      </c>
      <c r="S61" s="175">
        <f t="shared" si="25"/>
        <v>1</v>
      </c>
      <c r="T61" s="175">
        <f t="shared" si="26"/>
        <v>1</v>
      </c>
      <c r="U61" s="175">
        <f t="shared" si="27"/>
        <v>0</v>
      </c>
      <c r="V61" s="179" t="str">
        <f t="shared" si="28"/>
        <v>Epinephelus malabaricus</v>
      </c>
      <c r="W61" s="179" t="str">
        <f t="shared" si="29"/>
        <v>Epinephelus malabaricus</v>
      </c>
      <c r="X61" s="175">
        <f t="shared" si="30"/>
        <v>0</v>
      </c>
      <c r="Y61" s="175">
        <f t="shared" si="31"/>
        <v>0</v>
      </c>
      <c r="Z61" s="175">
        <f t="shared" si="32"/>
        <v>0</v>
      </c>
      <c r="AA61" s="175">
        <f t="shared" si="33"/>
        <v>0</v>
      </c>
    </row>
    <row r="62" spans="4:27" ht="15" customHeight="1" x14ac:dyDescent="0.25">
      <c r="D62" s="170">
        <v>1</v>
      </c>
      <c r="E62" s="170">
        <v>1</v>
      </c>
      <c r="F62" s="28" t="s">
        <v>273</v>
      </c>
      <c r="G62" s="28" t="s">
        <v>99</v>
      </c>
      <c r="H62" s="28" t="s">
        <v>138</v>
      </c>
      <c r="I62" s="31">
        <v>44239</v>
      </c>
      <c r="J62" s="28" t="s">
        <v>277</v>
      </c>
      <c r="K62" s="28" t="s">
        <v>279</v>
      </c>
      <c r="L62" s="28" t="s">
        <v>277</v>
      </c>
      <c r="M62" s="28" t="s">
        <v>279</v>
      </c>
      <c r="N62" s="29">
        <v>2.17</v>
      </c>
      <c r="O62" s="28" t="s">
        <v>277</v>
      </c>
      <c r="P62" s="28" t="s">
        <v>279</v>
      </c>
      <c r="Q62" s="29">
        <v>2.16</v>
      </c>
      <c r="R62" s="172" t="str">
        <f t="shared" si="24"/>
        <v>A</v>
      </c>
      <c r="S62" s="175">
        <f t="shared" si="25"/>
        <v>1</v>
      </c>
      <c r="T62" s="175">
        <f t="shared" si="26"/>
        <v>1</v>
      </c>
      <c r="U62" s="175">
        <f t="shared" si="27"/>
        <v>0</v>
      </c>
      <c r="V62" s="179" t="str">
        <f t="shared" si="28"/>
        <v>Epinephelus malabaricus</v>
      </c>
      <c r="W62" s="179" t="str">
        <f t="shared" si="29"/>
        <v>Epinephelus malabaricus</v>
      </c>
      <c r="X62" s="175">
        <f t="shared" si="30"/>
        <v>0</v>
      </c>
      <c r="Y62" s="175">
        <f t="shared" si="31"/>
        <v>0</v>
      </c>
      <c r="Z62" s="175">
        <f t="shared" si="32"/>
        <v>0</v>
      </c>
      <c r="AA62" s="175">
        <f t="shared" si="33"/>
        <v>0</v>
      </c>
    </row>
    <row r="63" spans="4:27" ht="15" customHeight="1" x14ac:dyDescent="0.25">
      <c r="D63" s="170">
        <v>1</v>
      </c>
      <c r="E63" s="170">
        <v>1</v>
      </c>
      <c r="F63" s="28" t="s">
        <v>274</v>
      </c>
      <c r="G63" s="28" t="s">
        <v>99</v>
      </c>
      <c r="H63" s="28" t="s">
        <v>138</v>
      </c>
      <c r="I63" s="31">
        <v>43755</v>
      </c>
      <c r="J63" s="28" t="s">
        <v>277</v>
      </c>
      <c r="K63" s="28" t="s">
        <v>279</v>
      </c>
      <c r="L63" s="28" t="s">
        <v>277</v>
      </c>
      <c r="M63" s="28" t="s">
        <v>279</v>
      </c>
      <c r="N63" s="29">
        <v>2.14</v>
      </c>
      <c r="O63" s="28" t="s">
        <v>277</v>
      </c>
      <c r="P63" s="28" t="s">
        <v>279</v>
      </c>
      <c r="Q63" s="29">
        <v>2.0099999999999998</v>
      </c>
      <c r="R63" s="172" t="str">
        <f t="shared" si="24"/>
        <v>A</v>
      </c>
      <c r="S63" s="175">
        <f t="shared" si="25"/>
        <v>1</v>
      </c>
      <c r="T63" s="175">
        <f t="shared" si="26"/>
        <v>1</v>
      </c>
      <c r="U63" s="175">
        <f t="shared" si="27"/>
        <v>0</v>
      </c>
      <c r="V63" s="179" t="str">
        <f t="shared" si="28"/>
        <v>Epinephelus malabaricus</v>
      </c>
      <c r="W63" s="179" t="str">
        <f t="shared" si="29"/>
        <v>Epinephelus malabaricus</v>
      </c>
      <c r="X63" s="175">
        <f t="shared" si="30"/>
        <v>0</v>
      </c>
      <c r="Y63" s="175">
        <f t="shared" si="31"/>
        <v>0</v>
      </c>
      <c r="Z63" s="175">
        <f t="shared" si="32"/>
        <v>0</v>
      </c>
      <c r="AA63" s="175">
        <f t="shared" si="33"/>
        <v>0</v>
      </c>
    </row>
    <row r="64" spans="4:27" ht="15" customHeight="1" x14ac:dyDescent="0.25">
      <c r="D64" s="170">
        <v>1</v>
      </c>
      <c r="E64" s="170">
        <v>1</v>
      </c>
      <c r="F64" s="28" t="s">
        <v>275</v>
      </c>
      <c r="G64" s="28" t="s">
        <v>99</v>
      </c>
      <c r="H64" s="28" t="s">
        <v>138</v>
      </c>
      <c r="I64" s="31">
        <v>44239</v>
      </c>
      <c r="J64" s="28" t="s">
        <v>277</v>
      </c>
      <c r="K64" s="28" t="s">
        <v>279</v>
      </c>
      <c r="L64" s="28" t="s">
        <v>277</v>
      </c>
      <c r="M64" s="28" t="s">
        <v>279</v>
      </c>
      <c r="N64" s="29">
        <v>2.27</v>
      </c>
      <c r="O64" s="28" t="s">
        <v>277</v>
      </c>
      <c r="P64" s="28" t="s">
        <v>279</v>
      </c>
      <c r="Q64" s="29">
        <v>2.14</v>
      </c>
      <c r="R64" s="172" t="str">
        <f t="shared" si="24"/>
        <v>A</v>
      </c>
      <c r="S64" s="175">
        <f t="shared" si="25"/>
        <v>1</v>
      </c>
      <c r="T64" s="175">
        <f t="shared" si="26"/>
        <v>1</v>
      </c>
      <c r="U64" s="175">
        <f t="shared" si="27"/>
        <v>0</v>
      </c>
      <c r="V64" s="179" t="str">
        <f t="shared" si="28"/>
        <v>Epinephelus malabaricus</v>
      </c>
      <c r="W64" s="179" t="str">
        <f t="shared" si="29"/>
        <v>Epinephelus malabaricus</v>
      </c>
      <c r="X64" s="175">
        <f t="shared" si="30"/>
        <v>0</v>
      </c>
      <c r="Y64" s="175">
        <f t="shared" si="31"/>
        <v>0</v>
      </c>
      <c r="Z64" s="175">
        <f t="shared" si="32"/>
        <v>0</v>
      </c>
      <c r="AA64" s="175">
        <f t="shared" si="33"/>
        <v>0</v>
      </c>
    </row>
    <row r="65" spans="4:27" ht="15" customHeight="1" x14ac:dyDescent="0.25">
      <c r="D65" s="170">
        <v>1</v>
      </c>
      <c r="E65" s="170">
        <v>1</v>
      </c>
      <c r="F65" s="28" t="s">
        <v>276</v>
      </c>
      <c r="G65" s="28" t="s">
        <v>99</v>
      </c>
      <c r="H65" s="28" t="s">
        <v>138</v>
      </c>
      <c r="I65" s="31">
        <v>44035</v>
      </c>
      <c r="J65" s="28" t="s">
        <v>277</v>
      </c>
      <c r="K65" s="28" t="s">
        <v>279</v>
      </c>
      <c r="L65" s="28" t="s">
        <v>277</v>
      </c>
      <c r="M65" s="28" t="s">
        <v>279</v>
      </c>
      <c r="N65" s="29">
        <v>2.19</v>
      </c>
      <c r="O65" s="28" t="s">
        <v>277</v>
      </c>
      <c r="P65" s="28" t="s">
        <v>279</v>
      </c>
      <c r="Q65" s="29">
        <v>2.04</v>
      </c>
      <c r="R65" s="172" t="str">
        <f t="shared" si="24"/>
        <v>A</v>
      </c>
      <c r="S65" s="175">
        <f t="shared" si="25"/>
        <v>1</v>
      </c>
      <c r="T65" s="175">
        <f t="shared" si="26"/>
        <v>1</v>
      </c>
      <c r="U65" s="175">
        <f t="shared" si="27"/>
        <v>0</v>
      </c>
      <c r="V65" s="179" t="str">
        <f t="shared" si="28"/>
        <v>Epinephelus malabaricus</v>
      </c>
      <c r="W65" s="179" t="str">
        <f t="shared" si="29"/>
        <v>Epinephelus malabaricus</v>
      </c>
      <c r="X65" s="175">
        <f t="shared" si="30"/>
        <v>0</v>
      </c>
      <c r="Y65" s="175">
        <f t="shared" si="31"/>
        <v>0</v>
      </c>
      <c r="Z65" s="175">
        <f t="shared" si="32"/>
        <v>0</v>
      </c>
      <c r="AA65" s="175">
        <f t="shared" si="33"/>
        <v>0</v>
      </c>
    </row>
  </sheetData>
  <autoFilter ref="F1:Z204">
    <sortState ref="F2:Z65">
      <sortCondition ref="K1:K279"/>
    </sortState>
  </autoFilter>
  <mergeCells count="1">
    <mergeCell ref="A7:A8"/>
  </mergeCells>
  <conditionalFormatting sqref="J1:K1 J66:K1048576">
    <cfRule type="cellIs" dxfId="117" priority="458" operator="equal">
      <formula>$B$1&amp;" "&amp;#REF!</formula>
    </cfRule>
  </conditionalFormatting>
  <conditionalFormatting sqref="X1:X1048576">
    <cfRule type="cellIs" dxfId="116" priority="454" operator="equal">
      <formula>1</formula>
    </cfRule>
  </conditionalFormatting>
  <conditionalFormatting sqref="O3:O7 L2:L7 O10:O11 O24:O32 L10:L11 L24:L32 L14:L22 O13:O22 L35:L1048576 O35:O1048567">
    <cfRule type="cellIs" dxfId="115" priority="486" operator="notEqual">
      <formula>OR($J3,0)</formula>
    </cfRule>
  </conditionalFormatting>
  <conditionalFormatting sqref="M10:M11 M24:M32 P10:P11 P24:P32 M14:M22 P13:P22 M35:M1048576 P35:P1048576">
    <cfRule type="cellIs" dxfId="114" priority="467" operator="notEqual">
      <formula>OR($K11,0)</formula>
    </cfRule>
  </conditionalFormatting>
  <conditionalFormatting sqref="Y1:Y1048576 AA2:AA65">
    <cfRule type="cellIs" dxfId="113" priority="435" operator="equal">
      <formula>1</formula>
    </cfRule>
  </conditionalFormatting>
  <conditionalFormatting sqref="Z1:Z1048576">
    <cfRule type="cellIs" dxfId="112" priority="434" operator="equal">
      <formula>1</formula>
    </cfRule>
  </conditionalFormatting>
  <conditionalFormatting sqref="U1:U1048576">
    <cfRule type="cellIs" dxfId="111" priority="433" operator="equal">
      <formula>1</formula>
    </cfRule>
  </conditionalFormatting>
  <conditionalFormatting sqref="AA1">
    <cfRule type="cellIs" dxfId="110" priority="365" operator="equal">
      <formula>1</formula>
    </cfRule>
  </conditionalFormatting>
  <conditionalFormatting sqref="R3:R7 R10:R1048576">
    <cfRule type="containsText" dxfId="109" priority="349" operator="containsText" text="C">
      <formula>NOT(ISERROR(SEARCH("C",R3)))</formula>
    </cfRule>
    <cfRule type="containsText" dxfId="108" priority="350" operator="containsText" text="B">
      <formula>NOT(ISERROR(SEARCH("B",R3)))</formula>
    </cfRule>
    <cfRule type="containsText" dxfId="107" priority="351" operator="containsText" text="A">
      <formula>NOT(ISERROR(SEARCH("A",R3)))</formula>
    </cfRule>
  </conditionalFormatting>
  <conditionalFormatting sqref="Q66:Q1048576">
    <cfRule type="cellIs" dxfId="106" priority="327" operator="between">
      <formula>$B$21</formula>
      <formula>"&lt;$B$20"</formula>
    </cfRule>
    <cfRule type="cellIs" dxfId="105" priority="328" operator="between">
      <formula>0.0001</formula>
      <formula>"&lt;$B$21"</formula>
    </cfRule>
  </conditionalFormatting>
  <conditionalFormatting sqref="Q66:Q1048576">
    <cfRule type="cellIs" dxfId="104" priority="326" operator="greaterThanOrEqual">
      <formula>$B$20</formula>
    </cfRule>
  </conditionalFormatting>
  <conditionalFormatting sqref="N2:N7 Q2:Q7 Q10:Q22 N10:N22 N24:N32 Q24:Q32 N35:N1048576 Q35:Q65">
    <cfRule type="cellIs" dxfId="103" priority="320" operator="greaterThanOrEqual">
      <formula>$B$20</formula>
    </cfRule>
    <cfRule type="cellIs" dxfId="102" priority="321" operator="between">
      <formula>$B$21</formula>
      <formula>"&lt;$B$20"</formula>
    </cfRule>
    <cfRule type="cellIs" dxfId="101" priority="322" operator="between">
      <formula>0.0001</formula>
      <formula>"&lt;$B$21"</formula>
    </cfRule>
  </conditionalFormatting>
  <conditionalFormatting sqref="J2:K3">
    <cfRule type="cellIs" dxfId="100" priority="279" operator="equal">
      <formula>$B$1&amp;" "&amp;#REF!</formula>
    </cfRule>
  </conditionalFormatting>
  <conditionalFormatting sqref="J4:K7 J19:J21 J10:K12">
    <cfRule type="cellIs" dxfId="99" priority="278" operator="equal">
      <formula>$B$1&amp;" "&amp;#REF!</formula>
    </cfRule>
  </conditionalFormatting>
  <conditionalFormatting sqref="J22:J23">
    <cfRule type="cellIs" dxfId="98" priority="273" operator="equal">
      <formula>$B$1&amp;" "&amp;#REF!</formula>
    </cfRule>
  </conditionalFormatting>
  <conditionalFormatting sqref="J13:J18 J24:J65">
    <cfRule type="cellIs" dxfId="97" priority="253" operator="equal">
      <formula>$B$1&amp;" "&amp;#REF!</formula>
    </cfRule>
  </conditionalFormatting>
  <conditionalFormatting sqref="K13:K18 K24:K65">
    <cfRule type="cellIs" dxfId="96" priority="252" operator="equal">
      <formula>$B$1&amp;" "&amp;#REF!</formula>
    </cfRule>
  </conditionalFormatting>
  <conditionalFormatting sqref="K19:K23">
    <cfRule type="cellIs" dxfId="95" priority="212" operator="equal">
      <formula>$B$1&amp;" "&amp;#REF!</formula>
    </cfRule>
  </conditionalFormatting>
  <conditionalFormatting sqref="M2:M7">
    <cfRule type="cellIs" dxfId="94" priority="162" operator="notEqual">
      <formula>OR($K3,0)</formula>
    </cfRule>
  </conditionalFormatting>
  <conditionalFormatting sqref="P3:P7">
    <cfRule type="cellIs" dxfId="93" priority="157" operator="notEqual">
      <formula>OR($K4,0)</formula>
    </cfRule>
  </conditionalFormatting>
  <conditionalFormatting sqref="O2">
    <cfRule type="cellIs" dxfId="92" priority="148" operator="notEqual">
      <formula>OR($J3,0)</formula>
    </cfRule>
  </conditionalFormatting>
  <conditionalFormatting sqref="P2">
    <cfRule type="cellIs" dxfId="91" priority="146" operator="notEqual">
      <formula>OR($K3,0)</formula>
    </cfRule>
  </conditionalFormatting>
  <conditionalFormatting sqref="R2">
    <cfRule type="containsText" dxfId="90" priority="123" operator="containsText" text="C">
      <formula>NOT(ISERROR(SEARCH("C",R2)))</formula>
    </cfRule>
    <cfRule type="containsText" dxfId="89" priority="124" operator="containsText" text="B">
      <formula>NOT(ISERROR(SEARCH("B",R2)))</formula>
    </cfRule>
    <cfRule type="containsText" dxfId="88" priority="125" operator="containsText" text="A">
      <formula>NOT(ISERROR(SEARCH("A",R2)))</formula>
    </cfRule>
  </conditionalFormatting>
  <conditionalFormatting sqref="O1048568:O1048576">
    <cfRule type="cellIs" dxfId="87" priority="488" operator="notEqual">
      <formula>OR($J1,0)</formula>
    </cfRule>
  </conditionalFormatting>
  <conditionalFormatting sqref="R8:R9">
    <cfRule type="containsText" dxfId="86" priority="85" operator="containsText" text="C">
      <formula>NOT(ISERROR(SEARCH("C",R8)))</formula>
    </cfRule>
    <cfRule type="containsText" dxfId="85" priority="86" operator="containsText" text="B">
      <formula>NOT(ISERROR(SEARCH("B",R8)))</formula>
    </cfRule>
    <cfRule type="containsText" dxfId="84" priority="87" operator="containsText" text="A">
      <formula>NOT(ISERROR(SEARCH("A",R8)))</formula>
    </cfRule>
  </conditionalFormatting>
  <conditionalFormatting sqref="N8:N9 Q8:Q9">
    <cfRule type="cellIs" dxfId="83" priority="82" operator="greaterThanOrEqual">
      <formula>$B$20</formula>
    </cfRule>
    <cfRule type="cellIs" dxfId="82" priority="83" operator="between">
      <formula>$B$21</formula>
      <formula>"&lt;$B$20"</formula>
    </cfRule>
    <cfRule type="cellIs" dxfId="81" priority="84" operator="between">
      <formula>0.0001</formula>
      <formula>"&lt;$B$21"</formula>
    </cfRule>
  </conditionalFormatting>
  <conditionalFormatting sqref="J8:K9">
    <cfRule type="cellIs" dxfId="80" priority="81" operator="equal">
      <formula>$B$1&amp;" "&amp;#REF!</formula>
    </cfRule>
  </conditionalFormatting>
  <conditionalFormatting sqref="N23">
    <cfRule type="cellIs" dxfId="79" priority="70" operator="greaterThanOrEqual">
      <formula>$B$20</formula>
    </cfRule>
    <cfRule type="cellIs" dxfId="78" priority="71" operator="between">
      <formula>$B$21</formula>
      <formula>"&lt;$B$20"</formula>
    </cfRule>
    <cfRule type="cellIs" dxfId="77" priority="72" operator="between">
      <formula>0.0001</formula>
      <formula>"&lt;$B$21"</formula>
    </cfRule>
  </conditionalFormatting>
  <conditionalFormatting sqref="N23">
    <cfRule type="cellIs" dxfId="76" priority="67" operator="greaterThanOrEqual">
      <formula>$B$12</formula>
    </cfRule>
    <cfRule type="cellIs" dxfId="75" priority="68" operator="between">
      <formula>$B$13</formula>
      <formula>"&lt;$B$12"</formula>
    </cfRule>
    <cfRule type="cellIs" dxfId="74" priority="69" operator="between">
      <formula>0.0001</formula>
      <formula>"&lt;$B$13"</formula>
    </cfRule>
  </conditionalFormatting>
  <conditionalFormatting sqref="M23">
    <cfRule type="cellIs" dxfId="73" priority="74" operator="notEqual">
      <formula>OR($K23,0)</formula>
    </cfRule>
  </conditionalFormatting>
  <conditionalFormatting sqref="L23">
    <cfRule type="cellIs" dxfId="72" priority="76" operator="notEqual">
      <formula>OR($J23,0)</formula>
    </cfRule>
  </conditionalFormatting>
  <conditionalFormatting sqref="Q23">
    <cfRule type="cellIs" dxfId="71" priority="60" operator="greaterThanOrEqual">
      <formula>$B$20</formula>
    </cfRule>
    <cfRule type="cellIs" dxfId="70" priority="61" operator="between">
      <formula>$B$21</formula>
      <formula>"&lt;$B$20"</formula>
    </cfRule>
    <cfRule type="cellIs" dxfId="69" priority="62" operator="between">
      <formula>0.0001</formula>
      <formula>"&lt;$B$21"</formula>
    </cfRule>
  </conditionalFormatting>
  <conditionalFormatting sqref="Q23">
    <cfRule type="cellIs" dxfId="68" priority="57" operator="greaterThanOrEqual">
      <formula>$B$12</formula>
    </cfRule>
    <cfRule type="cellIs" dxfId="67" priority="58" operator="between">
      <formula>$B$13</formula>
      <formula>"&lt;$B$12"</formula>
    </cfRule>
    <cfRule type="cellIs" dxfId="66" priority="59" operator="between">
      <formula>0.0001</formula>
      <formula>"&lt;$B$13"</formula>
    </cfRule>
  </conditionalFormatting>
  <conditionalFormatting sqref="P23">
    <cfRule type="cellIs" dxfId="65" priority="64" operator="notEqual">
      <formula>OR($K23,0)</formula>
    </cfRule>
  </conditionalFormatting>
  <conditionalFormatting sqref="O23">
    <cfRule type="cellIs" dxfId="64" priority="66" operator="notEqual">
      <formula>OR($J23,0)</formula>
    </cfRule>
  </conditionalFormatting>
  <conditionalFormatting sqref="M8:M9">
    <cfRule type="cellIs" dxfId="63" priority="52" operator="notEqual">
      <formula>OR($K8,0)</formula>
    </cfRule>
  </conditionalFormatting>
  <conditionalFormatting sqref="L8:L9">
    <cfRule type="cellIs" dxfId="62" priority="54" operator="notEqual">
      <formula>OR($J8,0)</formula>
    </cfRule>
  </conditionalFormatting>
  <conditionalFormatting sqref="L13">
    <cfRule type="cellIs" dxfId="61" priority="50" operator="notEqual">
      <formula>OR($J14,0)</formula>
    </cfRule>
  </conditionalFormatting>
  <conditionalFormatting sqref="M13">
    <cfRule type="cellIs" dxfId="60" priority="48" operator="notEqual">
      <formula>OR($K14,0)</formula>
    </cfRule>
  </conditionalFormatting>
  <conditionalFormatting sqref="M12">
    <cfRule type="cellIs" dxfId="59" priority="44" operator="notEqual">
      <formula>OR($K12,0)</formula>
    </cfRule>
  </conditionalFormatting>
  <conditionalFormatting sqref="L12">
    <cfRule type="cellIs" dxfId="58" priority="46" operator="notEqual">
      <formula>OR($J12,0)</formula>
    </cfRule>
  </conditionalFormatting>
  <conditionalFormatting sqref="P8">
    <cfRule type="cellIs" dxfId="57" priority="36" operator="notEqual">
      <formula>OR($K8,0)</formula>
    </cfRule>
  </conditionalFormatting>
  <conditionalFormatting sqref="O8">
    <cfRule type="cellIs" dxfId="56" priority="38" operator="notEqual">
      <formula>OR($J8,0)</formula>
    </cfRule>
  </conditionalFormatting>
  <conditionalFormatting sqref="P9">
    <cfRule type="cellIs" dxfId="55" priority="32" operator="notEqual">
      <formula>OR($K9,0)</formula>
    </cfRule>
  </conditionalFormatting>
  <conditionalFormatting sqref="O9">
    <cfRule type="cellIs" dxfId="54" priority="34" operator="notEqual">
      <formula>OR($J9,0)</formula>
    </cfRule>
  </conditionalFormatting>
  <conditionalFormatting sqref="P12">
    <cfRule type="cellIs" dxfId="53" priority="28" operator="notEqual">
      <formula>OR($K12,0)</formula>
    </cfRule>
  </conditionalFormatting>
  <conditionalFormatting sqref="O12">
    <cfRule type="cellIs" dxfId="52" priority="30" operator="notEqual">
      <formula>OR($J12,0)</formula>
    </cfRule>
  </conditionalFormatting>
  <conditionalFormatting sqref="N33:N34">
    <cfRule type="cellIs" dxfId="51" priority="14" operator="greaterThanOrEqual">
      <formula>$B$20</formula>
    </cfRule>
    <cfRule type="cellIs" dxfId="50" priority="15" operator="between">
      <formula>$B$21</formula>
      <formula>"&lt;$B$20"</formula>
    </cfRule>
    <cfRule type="cellIs" dxfId="49" priority="16" operator="between">
      <formula>0.0001</formula>
      <formula>"&lt;$B$21"</formula>
    </cfRule>
  </conditionalFormatting>
  <conditionalFormatting sqref="N33:N34">
    <cfRule type="cellIs" dxfId="48" priority="11" operator="greaterThanOrEqual">
      <formula>$B$12</formula>
    </cfRule>
    <cfRule type="cellIs" dxfId="47" priority="12" operator="between">
      <formula>$B$13</formula>
      <formula>"&lt;$B$12"</formula>
    </cfRule>
    <cfRule type="cellIs" dxfId="46" priority="13" operator="between">
      <formula>0.0001</formula>
      <formula>"&lt;$B$13"</formula>
    </cfRule>
  </conditionalFormatting>
  <conditionalFormatting sqref="M33:M34">
    <cfRule type="cellIs" dxfId="45" priority="18" operator="notEqual">
      <formula>OR($K33,0)</formula>
    </cfRule>
  </conditionalFormatting>
  <conditionalFormatting sqref="L33:L34">
    <cfRule type="cellIs" dxfId="44" priority="20" operator="notEqual">
      <formula>OR($J33,0)</formula>
    </cfRule>
  </conditionalFormatting>
  <conditionalFormatting sqref="Q33:Q34">
    <cfRule type="cellIs" dxfId="43" priority="4" operator="greaterThanOrEqual">
      <formula>$B$20</formula>
    </cfRule>
    <cfRule type="cellIs" dxfId="42" priority="5" operator="between">
      <formula>$B$21</formula>
      <formula>"&lt;$B$20"</formula>
    </cfRule>
    <cfRule type="cellIs" dxfId="41" priority="6" operator="between">
      <formula>0.0001</formula>
      <formula>"&lt;$B$21"</formula>
    </cfRule>
  </conditionalFormatting>
  <conditionalFormatting sqref="Q33:Q34">
    <cfRule type="cellIs" dxfId="40" priority="1" operator="greaterThanOrEqual">
      <formula>$B$12</formula>
    </cfRule>
    <cfRule type="cellIs" dxfId="39" priority="2" operator="between">
      <formula>$B$13</formula>
      <formula>"&lt;$B$12"</formula>
    </cfRule>
    <cfRule type="cellIs" dxfId="38" priority="3" operator="between">
      <formula>0.0001</formula>
      <formula>"&lt;$B$13"</formula>
    </cfRule>
  </conditionalFormatting>
  <conditionalFormatting sqref="P33:P34">
    <cfRule type="cellIs" dxfId="37" priority="8" operator="notEqual">
      <formula>OR($K33,0)</formula>
    </cfRule>
  </conditionalFormatting>
  <conditionalFormatting sqref="O33:O34">
    <cfRule type="cellIs" dxfId="36" priority="10" operator="notEqual">
      <formula>OR($J33,0)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69" operator="containsText" id="{DF1FA79F-4AF6-40F6-B9A8-1C9C52914092}">
            <xm:f>NOT(ISERROR(SEARCH($J3,L2)))</xm:f>
            <xm:f>$J3</xm:f>
            <x14:dxf>
              <fill>
                <patternFill>
                  <bgColor rgb="FF92D050"/>
                </patternFill>
              </fill>
            </x14:dxf>
          </x14:cfRule>
          <xm:sqref>O3:O7 L2:L7 O10:O11 O24:O32 L10:L11 L24:L32 L14:L22 O13:O22 L35:L1048576 O35:O1048567</xm:sqref>
        </x14:conditionalFormatting>
        <x14:conditionalFormatting xmlns:xm="http://schemas.microsoft.com/office/excel/2006/main">
          <x14:cfRule type="containsText" priority="466" operator="containsText" id="{A67BE0AE-8489-4E00-88D8-8B7B1A6F63E2}">
            <xm:f>NOT(ISERROR(SEARCH($K11,M10)))</xm:f>
            <xm:f>$K11</xm:f>
            <x14:dxf>
              <fill>
                <patternFill>
                  <bgColor rgb="FF92D050"/>
                </patternFill>
              </fill>
            </x14:dxf>
          </x14:cfRule>
          <xm:sqref>M10:M11 M24:M32 P10:P11 P24:P32 M14:M22 P13:P22 M35:M1048576 P35:P1048576</xm:sqref>
        </x14:conditionalFormatting>
        <x14:conditionalFormatting xmlns:xm="http://schemas.microsoft.com/office/excel/2006/main">
          <x14:cfRule type="containsText" priority="161" operator="containsText" id="{28EEEB57-CA85-4426-83D8-9B13063E53B7}">
            <xm:f>NOT(ISERROR(SEARCH($K3,M2)))</xm:f>
            <xm:f>$K3</xm:f>
            <x14:dxf>
              <fill>
                <patternFill>
                  <bgColor rgb="FF92D050"/>
                </patternFill>
              </fill>
            </x14:dxf>
          </x14:cfRule>
          <xm:sqref>M2:M7</xm:sqref>
        </x14:conditionalFormatting>
        <x14:conditionalFormatting xmlns:xm="http://schemas.microsoft.com/office/excel/2006/main">
          <x14:cfRule type="containsText" priority="156" operator="containsText" id="{0A1637D4-E722-43F3-9BC1-EF57C689A48A}">
            <xm:f>NOT(ISERROR(SEARCH($K4,P3)))</xm:f>
            <xm:f>$K4</xm:f>
            <x14:dxf>
              <fill>
                <patternFill>
                  <bgColor rgb="FF92D050"/>
                </patternFill>
              </fill>
            </x14:dxf>
          </x14:cfRule>
          <xm:sqref>P3:P7</xm:sqref>
        </x14:conditionalFormatting>
        <x14:conditionalFormatting xmlns:xm="http://schemas.microsoft.com/office/excel/2006/main">
          <x14:cfRule type="containsText" priority="147" operator="containsText" id="{AE91DE1D-D78D-49EC-9825-8371E401E940}">
            <xm:f>NOT(ISERROR(SEARCH($J3,O2)))</xm:f>
            <xm:f>$J3</xm:f>
            <x14:dxf>
              <fill>
                <patternFill>
                  <bgColor rgb="FF92D050"/>
                </patternFill>
              </fill>
            </x14:dxf>
          </x14:cfRule>
          <xm:sqref>O2</xm:sqref>
        </x14:conditionalFormatting>
        <x14:conditionalFormatting xmlns:xm="http://schemas.microsoft.com/office/excel/2006/main">
          <x14:cfRule type="containsText" priority="145" operator="containsText" id="{3AC816E4-87C5-47B5-A9A0-536C33495E93}">
            <xm:f>NOT(ISERROR(SEARCH($K3,P2)))</xm:f>
            <xm:f>$K3</xm:f>
            <x14:dxf>
              <fill>
                <patternFill>
                  <bgColor rgb="FF92D050"/>
                </patternFill>
              </fill>
            </x14:dxf>
          </x14:cfRule>
          <xm:sqref>P2</xm:sqref>
        </x14:conditionalFormatting>
        <x14:conditionalFormatting xmlns:xm="http://schemas.microsoft.com/office/excel/2006/main">
          <x14:cfRule type="containsText" priority="495" operator="containsText" id="{DF1FA79F-4AF6-40F6-B9A8-1C9C52914092}">
            <xm:f>NOT(ISERROR(SEARCH($J1,O1048568)))</xm:f>
            <xm:f>$J1</xm:f>
            <x14:dxf>
              <fill>
                <patternFill>
                  <bgColor rgb="FF92D050"/>
                </patternFill>
              </fill>
            </x14:dxf>
          </x14:cfRule>
          <xm:sqref>O1048568:O1048576</xm:sqref>
        </x14:conditionalFormatting>
        <x14:conditionalFormatting xmlns:xm="http://schemas.microsoft.com/office/excel/2006/main">
          <x14:cfRule type="containsText" priority="73" operator="containsText" id="{59D35216-809F-4726-9478-6C918B74DE7B}">
            <xm:f>NOT(ISERROR(SEARCH($K23,M23)))</xm:f>
            <xm:f>$K23</xm:f>
            <x14:dxf>
              <fill>
                <patternFill>
                  <bgColor rgb="FF92D05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ontainsText" priority="75" operator="containsText" id="{4F85FEF2-EAE8-46AD-A0B2-F28A1976D0B3}">
            <xm:f>NOT(ISERROR(SEARCH($J23,L23)))</xm:f>
            <xm:f>$J23</xm:f>
            <x14:dxf>
              <fill>
                <patternFill>
                  <bgColor rgb="FF92D05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containsText" priority="63" operator="containsText" id="{EDD56040-FB97-49AA-AA93-51938620BED9}">
            <xm:f>NOT(ISERROR(SEARCH($K23,P23)))</xm:f>
            <xm:f>$K23</xm:f>
            <x14:dxf>
              <fill>
                <patternFill>
                  <bgColor rgb="FF92D050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containsText" priority="65" operator="containsText" id="{78B2DAAF-2A5B-41E7-BEE5-7339E9F9CC41}">
            <xm:f>NOT(ISERROR(SEARCH($J23,O23)))</xm:f>
            <xm:f>$J23</xm:f>
            <x14:dxf>
              <fill>
                <patternFill>
                  <bgColor rgb="FF92D050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containsText" priority="51" operator="containsText" id="{77058C93-30C0-4896-8192-74EF180DBA88}">
            <xm:f>NOT(ISERROR(SEARCH($K8,M8)))</xm:f>
            <xm:f>$K8</xm:f>
            <x14:dxf>
              <fill>
                <patternFill>
                  <bgColor rgb="FF92D050"/>
                </patternFill>
              </fill>
            </x14:dxf>
          </x14:cfRule>
          <xm:sqref>M8:M9</xm:sqref>
        </x14:conditionalFormatting>
        <x14:conditionalFormatting xmlns:xm="http://schemas.microsoft.com/office/excel/2006/main">
          <x14:cfRule type="containsText" priority="53" operator="containsText" id="{5D5A52B1-8F41-4DA4-930E-119758D1259B}">
            <xm:f>NOT(ISERROR(SEARCH($J8,L8)))</xm:f>
            <xm:f>$J8</xm:f>
            <x14:dxf>
              <fill>
                <patternFill>
                  <bgColor rgb="FF92D050"/>
                </patternFill>
              </fill>
            </x14:dxf>
          </x14:cfRule>
          <xm:sqref>L8:L9</xm:sqref>
        </x14:conditionalFormatting>
        <x14:conditionalFormatting xmlns:xm="http://schemas.microsoft.com/office/excel/2006/main">
          <x14:cfRule type="containsText" priority="49" operator="containsText" id="{A23B6FA8-5ED1-4896-9680-4AED8699A303}">
            <xm:f>NOT(ISERROR(SEARCH($J14,L13)))</xm:f>
            <xm:f>$J14</xm:f>
            <x14:dxf>
              <fill>
                <patternFill>
                  <bgColor rgb="FF92D05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ontainsText" priority="47" operator="containsText" id="{3E7107C4-489C-4833-A379-094D7ECB02AA}">
            <xm:f>NOT(ISERROR(SEARCH($K14,M13)))</xm:f>
            <xm:f>$K14</xm:f>
            <x14:dxf>
              <fill>
                <patternFill>
                  <bgColor rgb="FF92D05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ontainsText" priority="43" operator="containsText" id="{03460DCC-947B-4D85-B754-D30D872D0781}">
            <xm:f>NOT(ISERROR(SEARCH($K12,M12)))</xm:f>
            <xm:f>$K12</xm:f>
            <x14:dxf>
              <fill>
                <patternFill>
                  <bgColor rgb="FF92D050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containsText" priority="45" operator="containsText" id="{AC71335B-1BA9-4B0B-B36F-15AC23E5C80E}">
            <xm:f>NOT(ISERROR(SEARCH($J12,L12)))</xm:f>
            <xm:f>$J12</xm:f>
            <x14:dxf>
              <fill>
                <patternFill>
                  <bgColor rgb="FF92D050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containsText" priority="35" operator="containsText" id="{E74E6CF2-9791-4D05-AD70-56A2E0F35051}">
            <xm:f>NOT(ISERROR(SEARCH($K8,P8)))</xm:f>
            <xm:f>$K8</xm:f>
            <x14:dxf>
              <fill>
                <patternFill>
                  <bgColor rgb="FF92D050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containsText" priority="37" operator="containsText" id="{FB7F0FD4-8403-44D8-A491-215BE0938E4C}">
            <xm:f>NOT(ISERROR(SEARCH($J8,O8)))</xm:f>
            <xm:f>$J8</xm:f>
            <x14:dxf>
              <fill>
                <patternFill>
                  <bgColor rgb="FF92D050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containsText" priority="31" operator="containsText" id="{64B18A41-E046-42A2-B92B-689C46EF8746}">
            <xm:f>NOT(ISERROR(SEARCH($K9,P9)))</xm:f>
            <xm:f>$K9</xm:f>
            <x14:dxf>
              <fill>
                <patternFill>
                  <bgColor rgb="FF92D050"/>
                </patternFill>
              </fill>
            </x14:dxf>
          </x14:cfRule>
          <xm:sqref>P9</xm:sqref>
        </x14:conditionalFormatting>
        <x14:conditionalFormatting xmlns:xm="http://schemas.microsoft.com/office/excel/2006/main">
          <x14:cfRule type="containsText" priority="33" operator="containsText" id="{9DFA7D68-F162-4FF6-8D1F-C0A585B2929B}">
            <xm:f>NOT(ISERROR(SEARCH($J9,O9)))</xm:f>
            <xm:f>$J9</xm:f>
            <x14:dxf>
              <fill>
                <patternFill>
                  <bgColor rgb="FF92D05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ontainsText" priority="27" operator="containsText" id="{39340AA7-D799-42F7-B32B-677CE4D6F0B4}">
            <xm:f>NOT(ISERROR(SEARCH($K12,P12)))</xm:f>
            <xm:f>$K12</xm:f>
            <x14:dxf>
              <fill>
                <patternFill>
                  <bgColor rgb="FF92D050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containsText" priority="29" operator="containsText" id="{08639EC5-158D-4B41-93A5-B6BE77A329F2}">
            <xm:f>NOT(ISERROR(SEARCH($J12,O12)))</xm:f>
            <xm:f>$J12</xm:f>
            <x14:dxf>
              <fill>
                <patternFill>
                  <bgColor rgb="FF92D05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ontainsText" priority="17" operator="containsText" id="{B17B902F-4EFC-4C23-A666-8B831E85C1F3}">
            <xm:f>NOT(ISERROR(SEARCH($K33,M33)))</xm:f>
            <xm:f>$K33</xm:f>
            <x14:dxf>
              <fill>
                <patternFill>
                  <bgColor rgb="FF92D050"/>
                </patternFill>
              </fill>
            </x14:dxf>
          </x14:cfRule>
          <xm:sqref>M33:M34</xm:sqref>
        </x14:conditionalFormatting>
        <x14:conditionalFormatting xmlns:xm="http://schemas.microsoft.com/office/excel/2006/main">
          <x14:cfRule type="containsText" priority="19" operator="containsText" id="{142C20F9-E648-495F-8BF3-DB9C679FA51F}">
            <xm:f>NOT(ISERROR(SEARCH($J33,L33)))</xm:f>
            <xm:f>$J33</xm:f>
            <x14:dxf>
              <fill>
                <patternFill>
                  <bgColor rgb="FF92D050"/>
                </patternFill>
              </fill>
            </x14:dxf>
          </x14:cfRule>
          <xm:sqref>L33:L34</xm:sqref>
        </x14:conditionalFormatting>
        <x14:conditionalFormatting xmlns:xm="http://schemas.microsoft.com/office/excel/2006/main">
          <x14:cfRule type="containsText" priority="7" operator="containsText" id="{7522A8B3-103E-49F6-982B-BCD361493D0E}">
            <xm:f>NOT(ISERROR(SEARCH($K33,P33)))</xm:f>
            <xm:f>$K33</xm:f>
            <x14:dxf>
              <fill>
                <patternFill>
                  <bgColor rgb="FF92D050"/>
                </patternFill>
              </fill>
            </x14:dxf>
          </x14:cfRule>
          <xm:sqref>P33:P34</xm:sqref>
        </x14:conditionalFormatting>
        <x14:conditionalFormatting xmlns:xm="http://schemas.microsoft.com/office/excel/2006/main">
          <x14:cfRule type="containsText" priority="9" operator="containsText" id="{4B6427AA-EE48-4237-B22B-0E14AE19235B}">
            <xm:f>NOT(ISERROR(SEARCH($J33,O33)))</xm:f>
            <xm:f>$J33</xm:f>
            <x14:dxf>
              <fill>
                <patternFill>
                  <bgColor rgb="FF92D050"/>
                </patternFill>
              </fill>
            </x14:dxf>
          </x14:cfRule>
          <xm:sqref>O33:O34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65"/>
  <sheetViews>
    <sheetView zoomScale="80" zoomScaleNormal="80" workbookViewId="0">
      <selection activeCell="C3" sqref="C3"/>
    </sheetView>
  </sheetViews>
  <sheetFormatPr baseColWidth="10" defaultColWidth="11.25" defaultRowHeight="15" customHeight="1" x14ac:dyDescent="0.25"/>
  <cols>
    <col min="1" max="3" width="20.75" style="1" customWidth="1"/>
    <col min="4" max="4" width="1.75" style="1" customWidth="1"/>
    <col min="5" max="5" width="11.375" style="28" bestFit="1" customWidth="1"/>
    <col min="6" max="6" width="10" style="28" bestFit="1" customWidth="1"/>
    <col min="7" max="7" width="10.625" style="28" bestFit="1" customWidth="1"/>
    <col min="8" max="8" width="9.5" style="28" bestFit="1" customWidth="1"/>
    <col min="9" max="9" width="48.25" style="28" bestFit="1" customWidth="1"/>
    <col min="10" max="10" width="7.625" style="28" bestFit="1" customWidth="1"/>
    <col min="11" max="11" width="14.625" style="30" bestFit="1" customWidth="1"/>
    <col min="12" max="12" width="13.75" style="30" bestFit="1" customWidth="1"/>
    <col min="13" max="16384" width="11.25" style="1"/>
  </cols>
  <sheetData>
    <row r="1" spans="1:12" s="3" customFormat="1" ht="15" customHeight="1" x14ac:dyDescent="0.25">
      <c r="A1" s="4" t="s">
        <v>0</v>
      </c>
      <c r="B1" s="15" t="str">
        <f>'Parameter (Spezies)'!B1</f>
        <v>Lutjanus</v>
      </c>
      <c r="C1" s="16" t="str">
        <f>'Parameter (Spezies)'!C1</f>
        <v>argentimaculatus</v>
      </c>
      <c r="E1" s="176" t="s">
        <v>1</v>
      </c>
      <c r="F1" s="176" t="s">
        <v>2</v>
      </c>
      <c r="G1" s="176" t="s">
        <v>14</v>
      </c>
      <c r="H1" s="176" t="s">
        <v>13</v>
      </c>
      <c r="I1" s="176" t="s">
        <v>17</v>
      </c>
      <c r="J1" s="176" t="s">
        <v>3</v>
      </c>
      <c r="K1" s="6" t="s">
        <v>9</v>
      </c>
      <c r="L1" s="6" t="s">
        <v>10</v>
      </c>
    </row>
    <row r="2" spans="1:12" ht="15" customHeight="1" x14ac:dyDescent="0.25">
      <c r="A2" s="3" t="s">
        <v>82</v>
      </c>
      <c r="E2" s="28" t="s">
        <v>142</v>
      </c>
      <c r="F2" s="28" t="s">
        <v>99</v>
      </c>
      <c r="G2" s="28" t="s">
        <v>138</v>
      </c>
      <c r="H2" s="31">
        <v>43756</v>
      </c>
      <c r="I2" s="28" t="s">
        <v>168</v>
      </c>
      <c r="J2" s="29">
        <v>1.42</v>
      </c>
      <c r="K2" s="188">
        <f>IF(OR(J2&lt;$B$12,J2="&lt; 0"),1,0)</f>
        <v>1</v>
      </c>
      <c r="L2" s="188">
        <f t="shared" ref="L2" si="0">IF(K2=1,0,1)</f>
        <v>0</v>
      </c>
    </row>
    <row r="3" spans="1:12" ht="15" customHeight="1" x14ac:dyDescent="0.25">
      <c r="A3" s="5" t="s">
        <v>7</v>
      </c>
      <c r="B3" s="10">
        <f>SUM(K:L)</f>
        <v>67</v>
      </c>
      <c r="E3" s="28" t="s">
        <v>143</v>
      </c>
      <c r="F3" s="28" t="s">
        <v>99</v>
      </c>
      <c r="G3" s="28" t="s">
        <v>138</v>
      </c>
      <c r="H3" s="31">
        <v>43756</v>
      </c>
      <c r="I3" s="28" t="s">
        <v>169</v>
      </c>
      <c r="J3" s="29">
        <v>1.01</v>
      </c>
      <c r="K3" s="188">
        <f t="shared" ref="K3:K24" si="1">IF(OR(J2&lt;$B$12,J2="&lt; 0"),1,0)</f>
        <v>1</v>
      </c>
      <c r="L3" s="188">
        <f t="shared" ref="L3:L24" si="2">IF(K3=1,0,1)</f>
        <v>0</v>
      </c>
    </row>
    <row r="4" spans="1:12" ht="15" customHeight="1" x14ac:dyDescent="0.25">
      <c r="B4" s="11"/>
      <c r="E4" s="28" t="s">
        <v>145</v>
      </c>
      <c r="F4" s="28" t="s">
        <v>99</v>
      </c>
      <c r="G4" s="28" t="s">
        <v>138</v>
      </c>
      <c r="H4" s="31">
        <v>44240</v>
      </c>
      <c r="I4" s="28" t="s">
        <v>170</v>
      </c>
      <c r="J4" s="29">
        <v>1.37</v>
      </c>
      <c r="K4" s="188">
        <f t="shared" si="1"/>
        <v>1</v>
      </c>
      <c r="L4" s="188">
        <f t="shared" si="2"/>
        <v>0</v>
      </c>
    </row>
    <row r="5" spans="1:12" ht="15" customHeight="1" x14ac:dyDescent="0.25">
      <c r="A5" s="7" t="s">
        <v>11</v>
      </c>
      <c r="B5" s="12">
        <f>SUM(K:K)</f>
        <v>67</v>
      </c>
      <c r="E5" s="28" t="s">
        <v>146</v>
      </c>
      <c r="F5" s="28" t="s">
        <v>99</v>
      </c>
      <c r="G5" s="28" t="s">
        <v>138</v>
      </c>
      <c r="H5" s="31">
        <v>44239</v>
      </c>
      <c r="I5" s="28" t="s">
        <v>171</v>
      </c>
      <c r="J5" s="29">
        <v>1.05</v>
      </c>
      <c r="K5" s="188">
        <f t="shared" si="1"/>
        <v>1</v>
      </c>
      <c r="L5" s="188">
        <f t="shared" si="2"/>
        <v>0</v>
      </c>
    </row>
    <row r="6" spans="1:12" ht="15" customHeight="1" x14ac:dyDescent="0.25">
      <c r="B6" s="11"/>
      <c r="E6" s="28" t="s">
        <v>147</v>
      </c>
      <c r="F6" s="28" t="s">
        <v>99</v>
      </c>
      <c r="G6" s="28" t="s">
        <v>138</v>
      </c>
      <c r="H6" s="31">
        <v>43755</v>
      </c>
      <c r="I6" s="28" t="s">
        <v>172</v>
      </c>
      <c r="J6" s="29">
        <v>1.28</v>
      </c>
      <c r="K6" s="188">
        <f t="shared" si="1"/>
        <v>1</v>
      </c>
      <c r="L6" s="188">
        <f t="shared" si="2"/>
        <v>0</v>
      </c>
    </row>
    <row r="7" spans="1:12" ht="15" customHeight="1" x14ac:dyDescent="0.25">
      <c r="A7" s="8" t="s">
        <v>12</v>
      </c>
      <c r="B7" s="13">
        <f>SUM(L:L)</f>
        <v>0</v>
      </c>
      <c r="E7" s="28" t="s">
        <v>144</v>
      </c>
      <c r="F7" s="28" t="s">
        <v>99</v>
      </c>
      <c r="G7" s="28" t="s">
        <v>138</v>
      </c>
      <c r="H7" s="190">
        <v>44281</v>
      </c>
      <c r="I7" s="28" t="s">
        <v>173</v>
      </c>
      <c r="J7" s="29">
        <v>0.85</v>
      </c>
      <c r="K7" s="188">
        <f t="shared" si="1"/>
        <v>1</v>
      </c>
      <c r="L7" s="188">
        <f t="shared" si="2"/>
        <v>0</v>
      </c>
    </row>
    <row r="8" spans="1:12" ht="15" customHeight="1" x14ac:dyDescent="0.25">
      <c r="B8" s="11"/>
      <c r="E8" s="28" t="s">
        <v>148</v>
      </c>
      <c r="F8" s="28" t="s">
        <v>99</v>
      </c>
      <c r="G8" s="28" t="s">
        <v>138</v>
      </c>
      <c r="H8" s="31">
        <v>44030</v>
      </c>
      <c r="I8" s="28" t="s">
        <v>174</v>
      </c>
      <c r="J8" s="29">
        <v>1.21</v>
      </c>
      <c r="K8" s="188">
        <f t="shared" si="1"/>
        <v>1</v>
      </c>
      <c r="L8" s="188">
        <f t="shared" si="2"/>
        <v>0</v>
      </c>
    </row>
    <row r="9" spans="1:12" ht="15" customHeight="1" x14ac:dyDescent="0.25">
      <c r="A9" s="4"/>
      <c r="B9" s="14">
        <f>B7/B3</f>
        <v>0</v>
      </c>
      <c r="E9" s="28" t="s">
        <v>150</v>
      </c>
      <c r="F9" s="28" t="s">
        <v>99</v>
      </c>
      <c r="G9" s="28" t="s">
        <v>138</v>
      </c>
      <c r="H9" s="31">
        <v>44224</v>
      </c>
      <c r="I9" s="28" t="s">
        <v>175</v>
      </c>
      <c r="J9" s="29">
        <v>1.1399999999999999</v>
      </c>
      <c r="K9" s="188">
        <f t="shared" si="1"/>
        <v>1</v>
      </c>
      <c r="L9" s="188">
        <f t="shared" si="2"/>
        <v>0</v>
      </c>
    </row>
    <row r="10" spans="1:12" ht="15" customHeight="1" x14ac:dyDescent="0.25">
      <c r="E10" s="28" t="s">
        <v>152</v>
      </c>
      <c r="F10" s="28" t="s">
        <v>99</v>
      </c>
      <c r="G10" s="28" t="s">
        <v>138</v>
      </c>
      <c r="H10" s="31">
        <v>44027</v>
      </c>
      <c r="I10" s="28" t="s">
        <v>176</v>
      </c>
      <c r="J10" s="29">
        <v>1.33</v>
      </c>
      <c r="K10" s="188">
        <f t="shared" si="1"/>
        <v>1</v>
      </c>
      <c r="L10" s="188">
        <f t="shared" si="2"/>
        <v>0</v>
      </c>
    </row>
    <row r="11" spans="1:12" ht="15" customHeight="1" x14ac:dyDescent="0.25">
      <c r="E11" s="28" t="s">
        <v>153</v>
      </c>
      <c r="F11" s="28" t="s">
        <v>99</v>
      </c>
      <c r="G11" s="28" t="s">
        <v>138</v>
      </c>
      <c r="H11" s="31">
        <v>44294</v>
      </c>
      <c r="I11" s="28" t="s">
        <v>177</v>
      </c>
      <c r="J11" s="29">
        <v>1.61</v>
      </c>
      <c r="K11" s="188">
        <f t="shared" si="1"/>
        <v>1</v>
      </c>
      <c r="L11" s="188">
        <f t="shared" si="2"/>
        <v>0</v>
      </c>
    </row>
    <row r="12" spans="1:12" ht="15" customHeight="1" x14ac:dyDescent="0.25">
      <c r="A12" s="145" t="s">
        <v>83</v>
      </c>
      <c r="B12" s="146">
        <f>Settings!F10</f>
        <v>2</v>
      </c>
      <c r="C12" s="1" t="s">
        <v>84</v>
      </c>
      <c r="E12" s="28" t="s">
        <v>154</v>
      </c>
      <c r="F12" s="28" t="s">
        <v>99</v>
      </c>
      <c r="G12" s="28" t="s">
        <v>138</v>
      </c>
      <c r="H12" s="31">
        <v>44037</v>
      </c>
      <c r="I12" s="28" t="s">
        <v>178</v>
      </c>
      <c r="J12" s="29">
        <v>1.8</v>
      </c>
      <c r="K12" s="188">
        <f t="shared" si="1"/>
        <v>1</v>
      </c>
      <c r="L12" s="188">
        <f t="shared" si="2"/>
        <v>0</v>
      </c>
    </row>
    <row r="13" spans="1:12" ht="15" customHeight="1" x14ac:dyDescent="0.25">
      <c r="A13" s="147"/>
      <c r="B13" s="148">
        <f>Settings!D10</f>
        <v>1.7</v>
      </c>
      <c r="C13" s="1" t="s">
        <v>85</v>
      </c>
      <c r="E13" s="28" t="s">
        <v>157</v>
      </c>
      <c r="F13" s="28" t="s">
        <v>99</v>
      </c>
      <c r="G13" s="28" t="s">
        <v>138</v>
      </c>
      <c r="H13" s="31">
        <v>43756</v>
      </c>
      <c r="I13" s="28" t="s">
        <v>179</v>
      </c>
      <c r="J13" s="29">
        <v>1.53</v>
      </c>
      <c r="K13" s="188">
        <f t="shared" si="1"/>
        <v>1</v>
      </c>
      <c r="L13" s="188">
        <f t="shared" si="2"/>
        <v>0</v>
      </c>
    </row>
    <row r="14" spans="1:12" ht="15" customHeight="1" x14ac:dyDescent="0.25">
      <c r="A14" s="1" t="s">
        <v>97</v>
      </c>
      <c r="E14" s="28" t="s">
        <v>156</v>
      </c>
      <c r="F14" s="28" t="s">
        <v>99</v>
      </c>
      <c r="G14" s="28" t="s">
        <v>138</v>
      </c>
      <c r="H14" s="31">
        <v>43756</v>
      </c>
      <c r="I14" s="28" t="s">
        <v>180</v>
      </c>
      <c r="J14" s="29">
        <v>1.7</v>
      </c>
      <c r="K14" s="188">
        <f t="shared" si="1"/>
        <v>1</v>
      </c>
      <c r="L14" s="188">
        <f t="shared" si="2"/>
        <v>0</v>
      </c>
    </row>
    <row r="15" spans="1:12" ht="15" customHeight="1" x14ac:dyDescent="0.25">
      <c r="E15" s="28" t="s">
        <v>158</v>
      </c>
      <c r="F15" s="28" t="s">
        <v>99</v>
      </c>
      <c r="G15" s="28" t="s">
        <v>138</v>
      </c>
      <c r="H15" s="31">
        <v>43756</v>
      </c>
      <c r="I15" s="28" t="s">
        <v>181</v>
      </c>
      <c r="J15" s="29">
        <v>1.61</v>
      </c>
      <c r="K15" s="188">
        <f t="shared" si="1"/>
        <v>1</v>
      </c>
      <c r="L15" s="188">
        <f t="shared" si="2"/>
        <v>0</v>
      </c>
    </row>
    <row r="16" spans="1:12" ht="15" customHeight="1" x14ac:dyDescent="0.25">
      <c r="E16" s="28" t="s">
        <v>159</v>
      </c>
      <c r="F16" s="28" t="s">
        <v>99</v>
      </c>
      <c r="G16" s="28" t="s">
        <v>138</v>
      </c>
      <c r="H16" s="31">
        <v>43756</v>
      </c>
      <c r="I16" s="28" t="s">
        <v>182</v>
      </c>
      <c r="J16" s="29">
        <v>1.55</v>
      </c>
      <c r="K16" s="188">
        <f t="shared" si="1"/>
        <v>1</v>
      </c>
      <c r="L16" s="188">
        <f t="shared" si="2"/>
        <v>0</v>
      </c>
    </row>
    <row r="17" spans="5:12" ht="15" customHeight="1" x14ac:dyDescent="0.25">
      <c r="E17" s="28" t="s">
        <v>160</v>
      </c>
      <c r="F17" s="28" t="s">
        <v>99</v>
      </c>
      <c r="G17" s="28" t="s">
        <v>138</v>
      </c>
      <c r="H17" s="31">
        <v>44263</v>
      </c>
      <c r="I17" s="28" t="s">
        <v>183</v>
      </c>
      <c r="J17" s="29">
        <v>1.83</v>
      </c>
      <c r="K17" s="188">
        <f t="shared" si="1"/>
        <v>1</v>
      </c>
      <c r="L17" s="188">
        <f t="shared" si="2"/>
        <v>0</v>
      </c>
    </row>
    <row r="18" spans="5:12" ht="15" customHeight="1" x14ac:dyDescent="0.25">
      <c r="E18" s="28" t="s">
        <v>161</v>
      </c>
      <c r="F18" s="28" t="s">
        <v>99</v>
      </c>
      <c r="G18" s="28" t="s">
        <v>138</v>
      </c>
      <c r="H18" s="31">
        <v>43756</v>
      </c>
      <c r="I18" s="28" t="s">
        <v>184</v>
      </c>
      <c r="J18" s="29">
        <v>1.61</v>
      </c>
      <c r="K18" s="188">
        <f t="shared" si="1"/>
        <v>1</v>
      </c>
      <c r="L18" s="188">
        <f t="shared" si="2"/>
        <v>0</v>
      </c>
    </row>
    <row r="19" spans="5:12" ht="15" customHeight="1" x14ac:dyDescent="0.25">
      <c r="E19" s="28" t="s">
        <v>163</v>
      </c>
      <c r="F19" s="28" t="s">
        <v>99</v>
      </c>
      <c r="G19" s="28" t="s">
        <v>138</v>
      </c>
      <c r="H19" s="31">
        <v>43755</v>
      </c>
      <c r="I19" s="28" t="s">
        <v>185</v>
      </c>
      <c r="J19" s="29">
        <v>1.59</v>
      </c>
      <c r="K19" s="188">
        <f t="shared" si="1"/>
        <v>1</v>
      </c>
      <c r="L19" s="188">
        <f t="shared" si="2"/>
        <v>0</v>
      </c>
    </row>
    <row r="20" spans="5:12" ht="15" customHeight="1" x14ac:dyDescent="0.25">
      <c r="E20" s="28" t="s">
        <v>164</v>
      </c>
      <c r="F20" s="28" t="s">
        <v>99</v>
      </c>
      <c r="G20" s="28" t="s">
        <v>138</v>
      </c>
      <c r="H20" s="31">
        <v>43755</v>
      </c>
      <c r="I20" s="28" t="s">
        <v>186</v>
      </c>
      <c r="J20" s="29">
        <v>1.8</v>
      </c>
      <c r="K20" s="188">
        <f t="shared" si="1"/>
        <v>1</v>
      </c>
      <c r="L20" s="188">
        <f t="shared" si="2"/>
        <v>0</v>
      </c>
    </row>
    <row r="21" spans="5:12" ht="15" customHeight="1" x14ac:dyDescent="0.25">
      <c r="E21" s="28" t="s">
        <v>165</v>
      </c>
      <c r="F21" s="28" t="s">
        <v>99</v>
      </c>
      <c r="G21" s="28" t="s">
        <v>138</v>
      </c>
      <c r="H21" s="31">
        <v>43755</v>
      </c>
      <c r="I21" s="28" t="s">
        <v>187</v>
      </c>
      <c r="J21" s="29">
        <v>1.65</v>
      </c>
      <c r="K21" s="188">
        <f t="shared" si="1"/>
        <v>1</v>
      </c>
      <c r="L21" s="188">
        <f t="shared" si="2"/>
        <v>0</v>
      </c>
    </row>
    <row r="22" spans="5:12" ht="15" customHeight="1" x14ac:dyDescent="0.25">
      <c r="E22" s="28" t="s">
        <v>166</v>
      </c>
      <c r="F22" s="28" t="s">
        <v>99</v>
      </c>
      <c r="G22" s="28" t="s">
        <v>138</v>
      </c>
      <c r="H22" s="31">
        <v>43755</v>
      </c>
      <c r="I22" s="28" t="s">
        <v>188</v>
      </c>
      <c r="J22" s="29">
        <v>1.78</v>
      </c>
      <c r="K22" s="188">
        <f t="shared" si="1"/>
        <v>1</v>
      </c>
      <c r="L22" s="188">
        <f t="shared" si="2"/>
        <v>0</v>
      </c>
    </row>
    <row r="23" spans="5:12" ht="15" customHeight="1" x14ac:dyDescent="0.25">
      <c r="E23" s="28" t="s">
        <v>167</v>
      </c>
      <c r="F23" s="28" t="s">
        <v>99</v>
      </c>
      <c r="G23" s="28" t="s">
        <v>138</v>
      </c>
      <c r="H23" s="31">
        <v>43755</v>
      </c>
      <c r="I23" s="28" t="s">
        <v>189</v>
      </c>
      <c r="J23" s="29">
        <v>1.82</v>
      </c>
      <c r="K23" s="188">
        <f t="shared" si="1"/>
        <v>1</v>
      </c>
      <c r="L23" s="188">
        <f t="shared" si="2"/>
        <v>0</v>
      </c>
    </row>
    <row r="24" spans="5:12" ht="15" customHeight="1" x14ac:dyDescent="0.25">
      <c r="E24" s="28" t="s">
        <v>162</v>
      </c>
      <c r="F24" s="28" t="s">
        <v>99</v>
      </c>
      <c r="G24" s="28" t="s">
        <v>138</v>
      </c>
      <c r="H24" s="31">
        <v>43755</v>
      </c>
      <c r="I24" s="28" t="s">
        <v>190</v>
      </c>
      <c r="J24" s="29">
        <v>1.54</v>
      </c>
      <c r="K24" s="188">
        <f t="shared" si="1"/>
        <v>1</v>
      </c>
      <c r="L24" s="188">
        <f t="shared" si="2"/>
        <v>0</v>
      </c>
    </row>
    <row r="25" spans="5:12" ht="15" customHeight="1" x14ac:dyDescent="0.25">
      <c r="E25" s="28" t="s">
        <v>235</v>
      </c>
      <c r="F25" s="28" t="s">
        <v>99</v>
      </c>
      <c r="G25" s="28" t="s">
        <v>138</v>
      </c>
      <c r="H25" s="31">
        <v>44224</v>
      </c>
      <c r="I25" s="28" t="s">
        <v>193</v>
      </c>
      <c r="J25" s="29">
        <v>0.87</v>
      </c>
      <c r="K25" s="188">
        <f t="shared" ref="K25:K38" si="3">IF(OR(J24&lt;$B$12,J24="&lt; 0"),1,0)</f>
        <v>1</v>
      </c>
      <c r="L25" s="188">
        <f t="shared" ref="L25:L38" si="4">IF(K25=1,0,1)</f>
        <v>0</v>
      </c>
    </row>
    <row r="26" spans="5:12" ht="15" customHeight="1" x14ac:dyDescent="0.25">
      <c r="E26" s="28" t="s">
        <v>236</v>
      </c>
      <c r="F26" s="28" t="s">
        <v>99</v>
      </c>
      <c r="G26" s="28" t="s">
        <v>138</v>
      </c>
      <c r="H26" s="31">
        <v>43391</v>
      </c>
      <c r="I26" s="28" t="s">
        <v>194</v>
      </c>
      <c r="J26" s="29">
        <v>1.23</v>
      </c>
      <c r="K26" s="188">
        <f t="shared" si="3"/>
        <v>1</v>
      </c>
      <c r="L26" s="188">
        <f t="shared" si="4"/>
        <v>0</v>
      </c>
    </row>
    <row r="27" spans="5:12" ht="15" customHeight="1" x14ac:dyDescent="0.25">
      <c r="E27" s="28" t="s">
        <v>237</v>
      </c>
      <c r="F27" s="28" t="s">
        <v>99</v>
      </c>
      <c r="G27" s="28" t="s">
        <v>138</v>
      </c>
      <c r="H27" s="31">
        <v>44224</v>
      </c>
      <c r="I27" s="28" t="s">
        <v>195</v>
      </c>
      <c r="J27" s="29">
        <v>0.46</v>
      </c>
      <c r="K27" s="188">
        <f t="shared" si="3"/>
        <v>1</v>
      </c>
      <c r="L27" s="188">
        <f t="shared" si="4"/>
        <v>0</v>
      </c>
    </row>
    <row r="28" spans="5:12" ht="15" customHeight="1" x14ac:dyDescent="0.25">
      <c r="E28" s="28" t="s">
        <v>238</v>
      </c>
      <c r="F28" s="28" t="s">
        <v>99</v>
      </c>
      <c r="G28" s="28" t="s">
        <v>138</v>
      </c>
      <c r="H28" s="31">
        <v>43547</v>
      </c>
      <c r="I28" s="28" t="s">
        <v>196</v>
      </c>
      <c r="J28" s="29">
        <v>0.79</v>
      </c>
      <c r="K28" s="188">
        <f t="shared" si="3"/>
        <v>1</v>
      </c>
      <c r="L28" s="188">
        <f t="shared" si="4"/>
        <v>0</v>
      </c>
    </row>
    <row r="29" spans="5:12" ht="15" customHeight="1" x14ac:dyDescent="0.25">
      <c r="E29" s="28" t="s">
        <v>239</v>
      </c>
      <c r="F29" s="28" t="s">
        <v>99</v>
      </c>
      <c r="G29" s="28" t="s">
        <v>138</v>
      </c>
      <c r="H29" s="31">
        <v>43742</v>
      </c>
      <c r="I29" s="28" t="s">
        <v>197</v>
      </c>
      <c r="J29" s="29">
        <v>0.01</v>
      </c>
      <c r="K29" s="188">
        <f t="shared" si="3"/>
        <v>1</v>
      </c>
      <c r="L29" s="188">
        <f t="shared" si="4"/>
        <v>0</v>
      </c>
    </row>
    <row r="30" spans="5:12" ht="15" customHeight="1" x14ac:dyDescent="0.25">
      <c r="E30" s="28" t="s">
        <v>240</v>
      </c>
      <c r="F30" s="28" t="s">
        <v>99</v>
      </c>
      <c r="G30" s="28" t="s">
        <v>138</v>
      </c>
      <c r="H30" s="31">
        <v>44252</v>
      </c>
      <c r="I30" s="28" t="s">
        <v>198</v>
      </c>
      <c r="J30" s="29">
        <v>0.46</v>
      </c>
      <c r="K30" s="188">
        <f t="shared" si="3"/>
        <v>1</v>
      </c>
      <c r="L30" s="188">
        <f t="shared" si="4"/>
        <v>0</v>
      </c>
    </row>
    <row r="31" spans="5:12" ht="15" customHeight="1" x14ac:dyDescent="0.25">
      <c r="E31" s="28" t="s">
        <v>241</v>
      </c>
      <c r="F31" s="28" t="s">
        <v>99</v>
      </c>
      <c r="G31" s="28" t="s">
        <v>138</v>
      </c>
      <c r="H31" s="31">
        <v>43756</v>
      </c>
      <c r="I31" s="28" t="s">
        <v>199</v>
      </c>
      <c r="J31" s="29">
        <v>0.93</v>
      </c>
      <c r="K31" s="188">
        <f t="shared" si="3"/>
        <v>1</v>
      </c>
      <c r="L31" s="188">
        <f t="shared" si="4"/>
        <v>0</v>
      </c>
    </row>
    <row r="32" spans="5:12" ht="15" customHeight="1" x14ac:dyDescent="0.25">
      <c r="E32" s="28" t="s">
        <v>242</v>
      </c>
      <c r="F32" s="28" t="s">
        <v>99</v>
      </c>
      <c r="G32" s="28" t="s">
        <v>138</v>
      </c>
      <c r="H32" s="31">
        <v>43755</v>
      </c>
      <c r="I32" s="28" t="s">
        <v>200</v>
      </c>
      <c r="J32" s="29">
        <v>0.73</v>
      </c>
      <c r="K32" s="188">
        <f t="shared" si="3"/>
        <v>1</v>
      </c>
      <c r="L32" s="188">
        <f t="shared" si="4"/>
        <v>0</v>
      </c>
    </row>
    <row r="33" spans="5:12" ht="15" customHeight="1" x14ac:dyDescent="0.25">
      <c r="E33" s="28" t="s">
        <v>243</v>
      </c>
      <c r="F33" s="28" t="s">
        <v>99</v>
      </c>
      <c r="G33" s="28" t="s">
        <v>138</v>
      </c>
      <c r="H33" s="31">
        <v>43755</v>
      </c>
      <c r="I33" s="28" t="s">
        <v>201</v>
      </c>
      <c r="J33" s="29">
        <v>1.0900000000000001</v>
      </c>
      <c r="K33" s="188">
        <f t="shared" si="3"/>
        <v>1</v>
      </c>
      <c r="L33" s="188">
        <f t="shared" si="4"/>
        <v>0</v>
      </c>
    </row>
    <row r="34" spans="5:12" ht="15" customHeight="1" x14ac:dyDescent="0.25">
      <c r="E34" s="28" t="s">
        <v>244</v>
      </c>
      <c r="F34" s="28" t="s">
        <v>99</v>
      </c>
      <c r="G34" s="28" t="s">
        <v>138</v>
      </c>
      <c r="H34" s="31">
        <v>44239</v>
      </c>
      <c r="I34" s="28" t="s">
        <v>202</v>
      </c>
      <c r="J34" s="29">
        <v>0.5</v>
      </c>
      <c r="K34" s="188">
        <f t="shared" si="3"/>
        <v>1</v>
      </c>
      <c r="L34" s="188">
        <f t="shared" si="4"/>
        <v>0</v>
      </c>
    </row>
    <row r="35" spans="5:12" ht="15" customHeight="1" x14ac:dyDescent="0.25">
      <c r="E35" s="28" t="s">
        <v>245</v>
      </c>
      <c r="F35" s="28" t="s">
        <v>99</v>
      </c>
      <c r="G35" s="28" t="s">
        <v>138</v>
      </c>
      <c r="H35" s="31">
        <v>44267</v>
      </c>
      <c r="I35" s="28" t="s">
        <v>203</v>
      </c>
      <c r="J35" s="29">
        <v>0.65</v>
      </c>
      <c r="K35" s="188">
        <f t="shared" si="3"/>
        <v>1</v>
      </c>
      <c r="L35" s="188">
        <f t="shared" si="4"/>
        <v>0</v>
      </c>
    </row>
    <row r="36" spans="5:12" ht="15" customHeight="1" x14ac:dyDescent="0.25">
      <c r="E36" s="28" t="s">
        <v>246</v>
      </c>
      <c r="F36" s="28" t="s">
        <v>99</v>
      </c>
      <c r="G36" s="28" t="s">
        <v>138</v>
      </c>
      <c r="H36" s="31">
        <v>43414</v>
      </c>
      <c r="I36" s="28" t="s">
        <v>204</v>
      </c>
      <c r="J36" s="29">
        <v>0.26</v>
      </c>
      <c r="K36" s="188">
        <f t="shared" si="3"/>
        <v>1</v>
      </c>
      <c r="L36" s="188">
        <f t="shared" si="4"/>
        <v>0</v>
      </c>
    </row>
    <row r="37" spans="5:12" ht="15" customHeight="1" x14ac:dyDescent="0.25">
      <c r="E37" s="28" t="s">
        <v>247</v>
      </c>
      <c r="F37" s="28" t="s">
        <v>99</v>
      </c>
      <c r="G37" s="28" t="s">
        <v>138</v>
      </c>
      <c r="H37" s="31">
        <v>43414</v>
      </c>
      <c r="I37" s="28" t="s">
        <v>205</v>
      </c>
      <c r="J37" s="29">
        <v>0.67</v>
      </c>
      <c r="K37" s="188">
        <f t="shared" si="3"/>
        <v>1</v>
      </c>
      <c r="L37" s="188">
        <f t="shared" si="4"/>
        <v>0</v>
      </c>
    </row>
    <row r="38" spans="5:12" ht="15" customHeight="1" x14ac:dyDescent="0.25">
      <c r="E38" s="28" t="s">
        <v>248</v>
      </c>
      <c r="F38" s="28" t="s">
        <v>99</v>
      </c>
      <c r="G38" s="28" t="s">
        <v>138</v>
      </c>
      <c r="H38" s="31">
        <v>43444</v>
      </c>
      <c r="I38" s="28" t="s">
        <v>206</v>
      </c>
      <c r="J38" s="29">
        <v>0.65</v>
      </c>
      <c r="K38" s="188">
        <f t="shared" si="3"/>
        <v>1</v>
      </c>
      <c r="L38" s="188">
        <f t="shared" si="4"/>
        <v>0</v>
      </c>
    </row>
    <row r="39" spans="5:12" ht="15" customHeight="1" x14ac:dyDescent="0.25">
      <c r="E39" s="28" t="s">
        <v>249</v>
      </c>
      <c r="F39" s="28" t="s">
        <v>99</v>
      </c>
      <c r="G39" s="28" t="s">
        <v>138</v>
      </c>
      <c r="H39" s="31">
        <v>43084</v>
      </c>
      <c r="I39" s="28" t="s">
        <v>207</v>
      </c>
      <c r="J39" s="29">
        <v>0.84</v>
      </c>
      <c r="K39" s="188">
        <f t="shared" ref="K39:K66" si="5">IF(OR(J38&lt;$B$12,J38="&lt; 0"),1,0)</f>
        <v>1</v>
      </c>
      <c r="L39" s="188">
        <f t="shared" ref="L39:L63" si="6">IF(K39=1,0,1)</f>
        <v>0</v>
      </c>
    </row>
    <row r="40" spans="5:12" ht="15" customHeight="1" x14ac:dyDescent="0.25">
      <c r="E40" s="28" t="s">
        <v>250</v>
      </c>
      <c r="F40" s="28" t="s">
        <v>99</v>
      </c>
      <c r="G40" s="28" t="s">
        <v>138</v>
      </c>
      <c r="H40" s="31">
        <v>43084</v>
      </c>
      <c r="I40" s="28" t="s">
        <v>208</v>
      </c>
      <c r="J40" s="29">
        <v>0.92</v>
      </c>
      <c r="K40" s="188">
        <f t="shared" si="5"/>
        <v>1</v>
      </c>
      <c r="L40" s="188">
        <f t="shared" si="6"/>
        <v>0</v>
      </c>
    </row>
    <row r="41" spans="5:12" ht="15" customHeight="1" x14ac:dyDescent="0.25">
      <c r="E41" s="28" t="s">
        <v>251</v>
      </c>
      <c r="F41" s="28" t="s">
        <v>99</v>
      </c>
      <c r="G41" s="28" t="s">
        <v>138</v>
      </c>
      <c r="H41" s="31">
        <v>43414</v>
      </c>
      <c r="I41" s="28" t="s">
        <v>209</v>
      </c>
      <c r="J41" s="29">
        <v>1.2</v>
      </c>
      <c r="K41" s="188">
        <f t="shared" si="5"/>
        <v>1</v>
      </c>
      <c r="L41" s="188">
        <f t="shared" si="6"/>
        <v>0</v>
      </c>
    </row>
    <row r="42" spans="5:12" ht="15" customHeight="1" x14ac:dyDescent="0.25">
      <c r="E42" s="28" t="s">
        <v>252</v>
      </c>
      <c r="F42" s="28" t="s">
        <v>99</v>
      </c>
      <c r="G42" s="28" t="s">
        <v>138</v>
      </c>
      <c r="H42" s="31">
        <v>43418</v>
      </c>
      <c r="I42" s="28" t="s">
        <v>210</v>
      </c>
      <c r="J42" s="29">
        <v>0.59</v>
      </c>
      <c r="K42" s="188">
        <f t="shared" si="5"/>
        <v>1</v>
      </c>
      <c r="L42" s="188">
        <f t="shared" si="6"/>
        <v>0</v>
      </c>
    </row>
    <row r="43" spans="5:12" ht="15" customHeight="1" x14ac:dyDescent="0.25">
      <c r="E43" s="28" t="s">
        <v>253</v>
      </c>
      <c r="F43" s="28" t="s">
        <v>99</v>
      </c>
      <c r="G43" s="28" t="s">
        <v>138</v>
      </c>
      <c r="H43" s="31">
        <v>43385</v>
      </c>
      <c r="I43" s="28" t="s">
        <v>211</v>
      </c>
      <c r="J43" s="29">
        <v>0.88</v>
      </c>
      <c r="K43" s="188">
        <f t="shared" si="5"/>
        <v>1</v>
      </c>
      <c r="L43" s="188">
        <f t="shared" si="6"/>
        <v>0</v>
      </c>
    </row>
    <row r="44" spans="5:12" ht="15" customHeight="1" x14ac:dyDescent="0.25">
      <c r="E44" s="28" t="s">
        <v>254</v>
      </c>
      <c r="F44" s="28" t="s">
        <v>99</v>
      </c>
      <c r="G44" s="28" t="s">
        <v>138</v>
      </c>
      <c r="H44" s="31">
        <v>44224</v>
      </c>
      <c r="I44" s="28" t="s">
        <v>212</v>
      </c>
      <c r="J44" s="29">
        <v>0.91</v>
      </c>
      <c r="K44" s="188">
        <f t="shared" si="5"/>
        <v>1</v>
      </c>
      <c r="L44" s="188">
        <f t="shared" si="6"/>
        <v>0</v>
      </c>
    </row>
    <row r="45" spans="5:12" ht="15" customHeight="1" x14ac:dyDescent="0.25">
      <c r="E45" s="28" t="s">
        <v>255</v>
      </c>
      <c r="F45" s="28" t="s">
        <v>99</v>
      </c>
      <c r="G45" s="28" t="s">
        <v>138</v>
      </c>
      <c r="H45" s="31">
        <v>43392</v>
      </c>
      <c r="I45" s="28" t="s">
        <v>213</v>
      </c>
      <c r="J45" s="29">
        <v>0.44</v>
      </c>
      <c r="K45" s="188">
        <f t="shared" si="5"/>
        <v>1</v>
      </c>
      <c r="L45" s="188">
        <f t="shared" si="6"/>
        <v>0</v>
      </c>
    </row>
    <row r="46" spans="5:12" ht="15" customHeight="1" x14ac:dyDescent="0.25">
      <c r="E46" s="28" t="s">
        <v>256</v>
      </c>
      <c r="F46" s="28" t="s">
        <v>99</v>
      </c>
      <c r="G46" s="28" t="s">
        <v>138</v>
      </c>
      <c r="H46" s="31">
        <v>43390</v>
      </c>
      <c r="I46" s="28" t="s">
        <v>214</v>
      </c>
      <c r="J46" s="29">
        <v>0.47</v>
      </c>
      <c r="K46" s="188">
        <f t="shared" si="5"/>
        <v>1</v>
      </c>
      <c r="L46" s="188">
        <f t="shared" si="6"/>
        <v>0</v>
      </c>
    </row>
    <row r="47" spans="5:12" ht="15" customHeight="1" x14ac:dyDescent="0.25">
      <c r="E47" s="28" t="s">
        <v>257</v>
      </c>
      <c r="F47" s="28" t="s">
        <v>99</v>
      </c>
      <c r="G47" s="28" t="s">
        <v>138</v>
      </c>
      <c r="H47" s="31">
        <v>43547</v>
      </c>
      <c r="I47" s="28" t="s">
        <v>215</v>
      </c>
      <c r="J47" s="29">
        <v>0.64</v>
      </c>
      <c r="K47" s="188">
        <f t="shared" si="5"/>
        <v>1</v>
      </c>
      <c r="L47" s="188">
        <f t="shared" si="6"/>
        <v>0</v>
      </c>
    </row>
    <row r="48" spans="5:12" ht="15" customHeight="1" x14ac:dyDescent="0.25">
      <c r="E48" s="28" t="s">
        <v>258</v>
      </c>
      <c r="F48" s="28" t="s">
        <v>99</v>
      </c>
      <c r="G48" s="28" t="s">
        <v>138</v>
      </c>
      <c r="H48" s="31">
        <v>44239</v>
      </c>
      <c r="I48" s="28" t="s">
        <v>216</v>
      </c>
      <c r="J48" s="29">
        <v>0.82</v>
      </c>
      <c r="K48" s="188">
        <f t="shared" si="5"/>
        <v>1</v>
      </c>
      <c r="L48" s="188">
        <f t="shared" si="6"/>
        <v>0</v>
      </c>
    </row>
    <row r="49" spans="5:12" ht="15" customHeight="1" x14ac:dyDescent="0.25">
      <c r="E49" s="28" t="s">
        <v>259</v>
      </c>
      <c r="F49" s="28" t="s">
        <v>99</v>
      </c>
      <c r="G49" s="28" t="s">
        <v>138</v>
      </c>
      <c r="H49" s="31">
        <v>43547</v>
      </c>
      <c r="I49" s="28" t="s">
        <v>217</v>
      </c>
      <c r="J49" s="29">
        <v>0.64</v>
      </c>
      <c r="K49" s="188">
        <f t="shared" si="5"/>
        <v>1</v>
      </c>
      <c r="L49" s="188">
        <f t="shared" si="6"/>
        <v>0</v>
      </c>
    </row>
    <row r="50" spans="5:12" ht="15" customHeight="1" x14ac:dyDescent="0.25">
      <c r="E50" s="28" t="s">
        <v>260</v>
      </c>
      <c r="F50" s="28" t="s">
        <v>99</v>
      </c>
      <c r="G50" s="28" t="s">
        <v>138</v>
      </c>
      <c r="H50" s="31">
        <v>44236</v>
      </c>
      <c r="I50" s="28" t="s">
        <v>218</v>
      </c>
      <c r="J50" s="29">
        <v>0.41</v>
      </c>
      <c r="K50" s="188">
        <f t="shared" si="5"/>
        <v>1</v>
      </c>
      <c r="L50" s="188">
        <f t="shared" si="6"/>
        <v>0</v>
      </c>
    </row>
    <row r="51" spans="5:12" ht="15" customHeight="1" x14ac:dyDescent="0.25">
      <c r="E51" s="28" t="s">
        <v>261</v>
      </c>
      <c r="F51" s="28" t="s">
        <v>99</v>
      </c>
      <c r="G51" s="28" t="s">
        <v>138</v>
      </c>
      <c r="H51" s="31">
        <v>44239</v>
      </c>
      <c r="I51" s="28" t="s">
        <v>219</v>
      </c>
      <c r="J51" s="29">
        <v>1.05</v>
      </c>
      <c r="K51" s="188">
        <f t="shared" si="5"/>
        <v>1</v>
      </c>
      <c r="L51" s="188">
        <f t="shared" si="6"/>
        <v>0</v>
      </c>
    </row>
    <row r="52" spans="5:12" ht="15" customHeight="1" x14ac:dyDescent="0.25">
      <c r="E52" s="28" t="s">
        <v>262</v>
      </c>
      <c r="F52" s="28" t="s">
        <v>99</v>
      </c>
      <c r="G52" s="28" t="s">
        <v>138</v>
      </c>
      <c r="H52" s="31">
        <v>43547</v>
      </c>
      <c r="I52" s="28" t="s">
        <v>220</v>
      </c>
      <c r="J52" s="29">
        <v>0.87</v>
      </c>
      <c r="K52" s="188">
        <f t="shared" si="5"/>
        <v>1</v>
      </c>
      <c r="L52" s="188">
        <f t="shared" si="6"/>
        <v>0</v>
      </c>
    </row>
    <row r="53" spans="5:12" ht="15" customHeight="1" x14ac:dyDescent="0.25">
      <c r="E53" s="28" t="s">
        <v>263</v>
      </c>
      <c r="F53" s="28" t="s">
        <v>99</v>
      </c>
      <c r="G53" s="28" t="s">
        <v>138</v>
      </c>
      <c r="H53" s="31">
        <v>43547</v>
      </c>
      <c r="I53" s="28" t="s">
        <v>221</v>
      </c>
      <c r="J53" s="29">
        <v>0.88</v>
      </c>
      <c r="K53" s="188">
        <f t="shared" si="5"/>
        <v>1</v>
      </c>
      <c r="L53" s="188">
        <f t="shared" si="6"/>
        <v>0</v>
      </c>
    </row>
    <row r="54" spans="5:12" ht="15" customHeight="1" x14ac:dyDescent="0.25">
      <c r="E54" s="28" t="s">
        <v>264</v>
      </c>
      <c r="F54" s="28" t="s">
        <v>99</v>
      </c>
      <c r="G54" s="28" t="s">
        <v>138</v>
      </c>
      <c r="H54" s="31">
        <v>44239</v>
      </c>
      <c r="I54" s="28" t="s">
        <v>222</v>
      </c>
      <c r="J54" s="29">
        <v>0.51</v>
      </c>
      <c r="K54" s="188">
        <f t="shared" si="5"/>
        <v>1</v>
      </c>
      <c r="L54" s="188">
        <f t="shared" si="6"/>
        <v>0</v>
      </c>
    </row>
    <row r="55" spans="5:12" ht="15" customHeight="1" x14ac:dyDescent="0.25">
      <c r="E55" s="28" t="s">
        <v>265</v>
      </c>
      <c r="F55" s="28" t="s">
        <v>99</v>
      </c>
      <c r="G55" s="28" t="s">
        <v>138</v>
      </c>
      <c r="H55" s="31">
        <v>43756</v>
      </c>
      <c r="I55" s="28" t="s">
        <v>223</v>
      </c>
      <c r="J55" s="29">
        <v>0.8</v>
      </c>
      <c r="K55" s="188">
        <f t="shared" si="5"/>
        <v>1</v>
      </c>
      <c r="L55" s="188">
        <f t="shared" si="6"/>
        <v>0</v>
      </c>
    </row>
    <row r="56" spans="5:12" ht="15" customHeight="1" x14ac:dyDescent="0.25">
      <c r="E56" s="28" t="s">
        <v>266</v>
      </c>
      <c r="F56" s="28" t="s">
        <v>99</v>
      </c>
      <c r="G56" s="28" t="s">
        <v>138</v>
      </c>
      <c r="H56" s="31">
        <v>44239</v>
      </c>
      <c r="I56" s="28" t="s">
        <v>224</v>
      </c>
      <c r="J56" s="29">
        <v>0.35</v>
      </c>
      <c r="K56" s="188">
        <f t="shared" si="5"/>
        <v>1</v>
      </c>
      <c r="L56" s="188">
        <f t="shared" si="6"/>
        <v>0</v>
      </c>
    </row>
    <row r="57" spans="5:12" ht="15" customHeight="1" x14ac:dyDescent="0.25">
      <c r="E57" s="28" t="s">
        <v>267</v>
      </c>
      <c r="F57" s="28" t="s">
        <v>99</v>
      </c>
      <c r="G57" s="28" t="s">
        <v>138</v>
      </c>
      <c r="H57" s="31">
        <v>43756</v>
      </c>
      <c r="I57" s="28" t="s">
        <v>225</v>
      </c>
      <c r="J57" s="29">
        <v>0.77</v>
      </c>
      <c r="K57" s="188">
        <f t="shared" si="5"/>
        <v>1</v>
      </c>
      <c r="L57" s="188">
        <f t="shared" si="6"/>
        <v>0</v>
      </c>
    </row>
    <row r="58" spans="5:12" ht="15" customHeight="1" x14ac:dyDescent="0.25">
      <c r="E58" s="28" t="s">
        <v>268</v>
      </c>
      <c r="F58" s="28" t="s">
        <v>99</v>
      </c>
      <c r="G58" s="28" t="s">
        <v>138</v>
      </c>
      <c r="H58" s="31">
        <v>43756</v>
      </c>
      <c r="I58" s="28" t="s">
        <v>226</v>
      </c>
      <c r="J58" s="29">
        <v>0.97</v>
      </c>
      <c r="K58" s="188">
        <f t="shared" si="5"/>
        <v>1</v>
      </c>
      <c r="L58" s="188">
        <f t="shared" si="6"/>
        <v>0</v>
      </c>
    </row>
    <row r="59" spans="5:12" ht="15" customHeight="1" x14ac:dyDescent="0.25">
      <c r="E59" s="28" t="s">
        <v>269</v>
      </c>
      <c r="F59" s="28" t="s">
        <v>99</v>
      </c>
      <c r="G59" s="28" t="s">
        <v>138</v>
      </c>
      <c r="H59" s="31">
        <v>43756</v>
      </c>
      <c r="I59" s="28" t="s">
        <v>227</v>
      </c>
      <c r="J59" s="29">
        <v>0.73</v>
      </c>
      <c r="K59" s="188">
        <f t="shared" si="5"/>
        <v>1</v>
      </c>
      <c r="L59" s="188">
        <f t="shared" si="6"/>
        <v>0</v>
      </c>
    </row>
    <row r="60" spans="5:12" ht="15" customHeight="1" x14ac:dyDescent="0.25">
      <c r="E60" s="28" t="s">
        <v>270</v>
      </c>
      <c r="F60" s="28" t="s">
        <v>99</v>
      </c>
      <c r="G60" s="28" t="s">
        <v>138</v>
      </c>
      <c r="H60" s="31">
        <v>43756</v>
      </c>
      <c r="I60" s="28" t="s">
        <v>228</v>
      </c>
      <c r="J60" s="29">
        <v>0.47</v>
      </c>
      <c r="K60" s="188">
        <f t="shared" si="5"/>
        <v>1</v>
      </c>
      <c r="L60" s="188">
        <f t="shared" si="6"/>
        <v>0</v>
      </c>
    </row>
    <row r="61" spans="5:12" ht="15" customHeight="1" x14ac:dyDescent="0.25">
      <c r="E61" s="28" t="s">
        <v>271</v>
      </c>
      <c r="F61" s="28" t="s">
        <v>99</v>
      </c>
      <c r="G61" s="28" t="s">
        <v>138</v>
      </c>
      <c r="H61" s="31">
        <v>44239</v>
      </c>
      <c r="I61" s="28" t="s">
        <v>229</v>
      </c>
      <c r="J61" s="29">
        <v>0.95</v>
      </c>
      <c r="K61" s="188">
        <f t="shared" si="5"/>
        <v>1</v>
      </c>
      <c r="L61" s="188">
        <f t="shared" si="6"/>
        <v>0</v>
      </c>
    </row>
    <row r="62" spans="5:12" ht="15" customHeight="1" x14ac:dyDescent="0.25">
      <c r="E62" s="28" t="s">
        <v>272</v>
      </c>
      <c r="F62" s="28" t="s">
        <v>99</v>
      </c>
      <c r="G62" s="28" t="s">
        <v>138</v>
      </c>
      <c r="H62" s="31">
        <v>44263</v>
      </c>
      <c r="I62" s="28" t="s">
        <v>230</v>
      </c>
      <c r="J62" s="29">
        <v>0.93</v>
      </c>
      <c r="K62" s="188">
        <f t="shared" si="5"/>
        <v>1</v>
      </c>
      <c r="L62" s="188">
        <f t="shared" si="6"/>
        <v>0</v>
      </c>
    </row>
    <row r="63" spans="5:12" ht="15" customHeight="1" x14ac:dyDescent="0.25">
      <c r="E63" s="28" t="s">
        <v>273</v>
      </c>
      <c r="F63" s="28" t="s">
        <v>99</v>
      </c>
      <c r="G63" s="28" t="s">
        <v>138</v>
      </c>
      <c r="H63" s="31">
        <v>44239</v>
      </c>
      <c r="I63" s="28" t="s">
        <v>231</v>
      </c>
      <c r="J63" s="29">
        <v>0.82</v>
      </c>
      <c r="K63" s="188">
        <f t="shared" si="5"/>
        <v>1</v>
      </c>
      <c r="L63" s="188">
        <f t="shared" si="6"/>
        <v>0</v>
      </c>
    </row>
    <row r="64" spans="5:12" ht="15" customHeight="1" x14ac:dyDescent="0.25">
      <c r="E64" s="28" t="s">
        <v>274</v>
      </c>
      <c r="F64" s="28" t="s">
        <v>99</v>
      </c>
      <c r="G64" s="28" t="s">
        <v>138</v>
      </c>
      <c r="H64" s="31">
        <v>43755</v>
      </c>
      <c r="I64" s="28" t="s">
        <v>232</v>
      </c>
      <c r="J64" s="29">
        <v>0.55000000000000004</v>
      </c>
      <c r="K64" s="188">
        <f t="shared" si="5"/>
        <v>1</v>
      </c>
      <c r="L64" s="188">
        <f t="shared" ref="L64:L68" si="7">IF(K64=1,0,1)</f>
        <v>0</v>
      </c>
    </row>
    <row r="65" spans="5:12" ht="15" customHeight="1" x14ac:dyDescent="0.25">
      <c r="E65" s="28" t="s">
        <v>275</v>
      </c>
      <c r="F65" s="28" t="s">
        <v>99</v>
      </c>
      <c r="G65" s="28" t="s">
        <v>138</v>
      </c>
      <c r="H65" s="31">
        <v>44239</v>
      </c>
      <c r="I65" s="28" t="s">
        <v>233</v>
      </c>
      <c r="J65" s="29">
        <v>0.56000000000000005</v>
      </c>
      <c r="K65" s="188">
        <f t="shared" si="5"/>
        <v>1</v>
      </c>
      <c r="L65" s="188">
        <f t="shared" si="7"/>
        <v>0</v>
      </c>
    </row>
    <row r="66" spans="5:12" ht="15" customHeight="1" x14ac:dyDescent="0.25">
      <c r="E66" s="28" t="s">
        <v>276</v>
      </c>
      <c r="F66" s="28" t="s">
        <v>99</v>
      </c>
      <c r="G66" s="28" t="s">
        <v>138</v>
      </c>
      <c r="H66" s="31">
        <v>44035</v>
      </c>
      <c r="I66" s="28" t="s">
        <v>234</v>
      </c>
      <c r="J66" s="29">
        <v>0.7</v>
      </c>
      <c r="K66" s="188">
        <f t="shared" si="5"/>
        <v>1</v>
      </c>
      <c r="L66" s="188">
        <f t="shared" si="7"/>
        <v>0</v>
      </c>
    </row>
    <row r="67" spans="5:12" ht="15" customHeight="1" x14ac:dyDescent="0.25">
      <c r="E67" s="28" t="s">
        <v>191</v>
      </c>
      <c r="F67" s="28" t="s">
        <v>99</v>
      </c>
      <c r="G67" s="28" t="s">
        <v>138</v>
      </c>
      <c r="H67" s="190">
        <v>43285</v>
      </c>
      <c r="I67" s="28" t="s">
        <v>298</v>
      </c>
      <c r="J67" s="29">
        <v>1.1200000000000001</v>
      </c>
      <c r="K67" s="188">
        <f t="shared" ref="K67:K68" si="8">IF(OR(J66&lt;$B$12,J66="&lt; 0"),1,0)</f>
        <v>1</v>
      </c>
      <c r="L67" s="188">
        <f t="shared" si="7"/>
        <v>0</v>
      </c>
    </row>
    <row r="68" spans="5:12" ht="15" customHeight="1" x14ac:dyDescent="0.25">
      <c r="E68" s="28" t="s">
        <v>192</v>
      </c>
      <c r="F68" s="28" t="s">
        <v>99</v>
      </c>
      <c r="G68" s="28" t="s">
        <v>138</v>
      </c>
      <c r="H68" s="190">
        <v>43333</v>
      </c>
      <c r="I68" s="28" t="s">
        <v>298</v>
      </c>
      <c r="J68" s="29">
        <v>1.1299999999999999</v>
      </c>
      <c r="K68" s="188">
        <f t="shared" si="8"/>
        <v>1</v>
      </c>
      <c r="L68" s="188">
        <f t="shared" si="7"/>
        <v>0</v>
      </c>
    </row>
    <row r="69" spans="5:12" ht="15" customHeight="1" x14ac:dyDescent="0.25">
      <c r="H69" s="31"/>
    </row>
    <row r="70" spans="5:12" ht="15" customHeight="1" x14ac:dyDescent="0.25">
      <c r="H70" s="31"/>
    </row>
    <row r="71" spans="5:12" ht="15" customHeight="1" x14ac:dyDescent="0.25">
      <c r="H71" s="31"/>
    </row>
    <row r="72" spans="5:12" ht="15" customHeight="1" x14ac:dyDescent="0.25">
      <c r="H72" s="31"/>
    </row>
    <row r="73" spans="5:12" ht="15" customHeight="1" x14ac:dyDescent="0.25">
      <c r="H73" s="31"/>
    </row>
    <row r="74" spans="5:12" ht="15" customHeight="1" x14ac:dyDescent="0.25">
      <c r="H74" s="31"/>
    </row>
    <row r="75" spans="5:12" ht="15" customHeight="1" x14ac:dyDescent="0.25">
      <c r="H75" s="31"/>
    </row>
    <row r="76" spans="5:12" ht="15" customHeight="1" x14ac:dyDescent="0.25">
      <c r="H76" s="31"/>
    </row>
    <row r="77" spans="5:12" ht="15" customHeight="1" x14ac:dyDescent="0.25">
      <c r="H77" s="31"/>
    </row>
    <row r="78" spans="5:12" ht="15" customHeight="1" x14ac:dyDescent="0.25">
      <c r="H78" s="31"/>
    </row>
    <row r="79" spans="5:12" ht="15" customHeight="1" x14ac:dyDescent="0.25">
      <c r="H79" s="31"/>
    </row>
    <row r="80" spans="5:12" ht="15" customHeight="1" x14ac:dyDescent="0.25">
      <c r="H80" s="31"/>
    </row>
    <row r="81" spans="8:8" ht="15" customHeight="1" x14ac:dyDescent="0.25">
      <c r="H81" s="31"/>
    </row>
    <row r="82" spans="8:8" ht="15" customHeight="1" x14ac:dyDescent="0.25">
      <c r="H82" s="31"/>
    </row>
    <row r="83" spans="8:8" ht="15" customHeight="1" x14ac:dyDescent="0.25">
      <c r="H83" s="31"/>
    </row>
    <row r="84" spans="8:8" ht="15" customHeight="1" x14ac:dyDescent="0.25">
      <c r="H84" s="31"/>
    </row>
    <row r="85" spans="8:8" ht="15" customHeight="1" x14ac:dyDescent="0.25">
      <c r="H85" s="31"/>
    </row>
    <row r="86" spans="8:8" ht="15" customHeight="1" x14ac:dyDescent="0.25">
      <c r="H86" s="31"/>
    </row>
    <row r="87" spans="8:8" ht="15" customHeight="1" x14ac:dyDescent="0.25">
      <c r="H87" s="31"/>
    </row>
    <row r="88" spans="8:8" ht="15" customHeight="1" x14ac:dyDescent="0.25">
      <c r="H88" s="31"/>
    </row>
    <row r="89" spans="8:8" ht="15" customHeight="1" x14ac:dyDescent="0.25">
      <c r="H89" s="31"/>
    </row>
    <row r="90" spans="8:8" ht="15" customHeight="1" x14ac:dyDescent="0.25">
      <c r="H90" s="31"/>
    </row>
    <row r="91" spans="8:8" ht="15" customHeight="1" x14ac:dyDescent="0.25">
      <c r="H91" s="31"/>
    </row>
    <row r="92" spans="8:8" ht="15" customHeight="1" x14ac:dyDescent="0.25">
      <c r="H92" s="31"/>
    </row>
    <row r="93" spans="8:8" ht="15" customHeight="1" x14ac:dyDescent="0.25">
      <c r="H93" s="31"/>
    </row>
    <row r="94" spans="8:8" ht="15" customHeight="1" x14ac:dyDescent="0.25">
      <c r="H94" s="31"/>
    </row>
    <row r="95" spans="8:8" ht="15" customHeight="1" x14ac:dyDescent="0.25">
      <c r="H95" s="31"/>
    </row>
    <row r="96" spans="8:8" ht="15" customHeight="1" x14ac:dyDescent="0.25">
      <c r="H96" s="31"/>
    </row>
    <row r="97" spans="8:8" ht="15" customHeight="1" x14ac:dyDescent="0.25">
      <c r="H97" s="31"/>
    </row>
    <row r="98" spans="8:8" ht="15" customHeight="1" x14ac:dyDescent="0.25">
      <c r="H98" s="31"/>
    </row>
    <row r="99" spans="8:8" ht="15" customHeight="1" x14ac:dyDescent="0.25">
      <c r="H99" s="31"/>
    </row>
    <row r="100" spans="8:8" ht="15" customHeight="1" x14ac:dyDescent="0.25">
      <c r="H100" s="31"/>
    </row>
    <row r="101" spans="8:8" ht="15" customHeight="1" x14ac:dyDescent="0.25">
      <c r="H101" s="31"/>
    </row>
    <row r="102" spans="8:8" ht="15" customHeight="1" x14ac:dyDescent="0.25">
      <c r="H102" s="31"/>
    </row>
    <row r="103" spans="8:8" ht="15" customHeight="1" x14ac:dyDescent="0.25">
      <c r="H103" s="31"/>
    </row>
    <row r="104" spans="8:8" ht="15" customHeight="1" x14ac:dyDescent="0.25">
      <c r="H104" s="31"/>
    </row>
    <row r="105" spans="8:8" ht="15" customHeight="1" x14ac:dyDescent="0.25">
      <c r="H105" s="31"/>
    </row>
    <row r="106" spans="8:8" ht="15" customHeight="1" x14ac:dyDescent="0.25">
      <c r="H106" s="31"/>
    </row>
    <row r="107" spans="8:8" ht="15" customHeight="1" x14ac:dyDescent="0.25">
      <c r="H107" s="31"/>
    </row>
    <row r="108" spans="8:8" ht="15" customHeight="1" x14ac:dyDescent="0.25">
      <c r="H108" s="31"/>
    </row>
    <row r="109" spans="8:8" ht="15" customHeight="1" x14ac:dyDescent="0.25">
      <c r="H109" s="31"/>
    </row>
    <row r="110" spans="8:8" ht="15" customHeight="1" x14ac:dyDescent="0.25">
      <c r="H110" s="31"/>
    </row>
    <row r="111" spans="8:8" ht="15" customHeight="1" x14ac:dyDescent="0.25">
      <c r="H111" s="31"/>
    </row>
    <row r="112" spans="8:8" ht="15" customHeight="1" x14ac:dyDescent="0.25">
      <c r="H112" s="31"/>
    </row>
    <row r="113" spans="8:8" ht="15" customHeight="1" x14ac:dyDescent="0.25">
      <c r="H113" s="31"/>
    </row>
    <row r="114" spans="8:8" ht="15" customHeight="1" x14ac:dyDescent="0.25">
      <c r="H114" s="31"/>
    </row>
    <row r="115" spans="8:8" ht="15" customHeight="1" x14ac:dyDescent="0.25">
      <c r="H115" s="31"/>
    </row>
    <row r="116" spans="8:8" ht="15" customHeight="1" x14ac:dyDescent="0.25">
      <c r="H116" s="31"/>
    </row>
    <row r="117" spans="8:8" ht="15" customHeight="1" x14ac:dyDescent="0.25">
      <c r="H117" s="31"/>
    </row>
    <row r="118" spans="8:8" ht="15" customHeight="1" x14ac:dyDescent="0.25">
      <c r="H118" s="31"/>
    </row>
    <row r="119" spans="8:8" ht="15" customHeight="1" x14ac:dyDescent="0.25">
      <c r="H119" s="31"/>
    </row>
    <row r="120" spans="8:8" ht="15" customHeight="1" x14ac:dyDescent="0.25">
      <c r="H120" s="31"/>
    </row>
    <row r="121" spans="8:8" ht="15" customHeight="1" x14ac:dyDescent="0.25">
      <c r="H121" s="31"/>
    </row>
    <row r="122" spans="8:8" ht="15" customHeight="1" x14ac:dyDescent="0.25">
      <c r="H122" s="31"/>
    </row>
    <row r="123" spans="8:8" ht="15" customHeight="1" x14ac:dyDescent="0.25">
      <c r="H123" s="31"/>
    </row>
    <row r="124" spans="8:8" ht="15" customHeight="1" x14ac:dyDescent="0.25">
      <c r="H124" s="31"/>
    </row>
    <row r="125" spans="8:8" ht="15" customHeight="1" x14ac:dyDescent="0.25">
      <c r="H125" s="31"/>
    </row>
    <row r="126" spans="8:8" ht="15" customHeight="1" x14ac:dyDescent="0.25">
      <c r="H126" s="31"/>
    </row>
    <row r="127" spans="8:8" ht="15" customHeight="1" x14ac:dyDescent="0.25">
      <c r="H127" s="31"/>
    </row>
    <row r="128" spans="8:8" ht="15" customHeight="1" x14ac:dyDescent="0.25">
      <c r="H128" s="31"/>
    </row>
    <row r="129" spans="8:8" ht="15" customHeight="1" x14ac:dyDescent="0.25">
      <c r="H129" s="31"/>
    </row>
    <row r="130" spans="8:8" ht="15" customHeight="1" x14ac:dyDescent="0.25">
      <c r="H130" s="31"/>
    </row>
    <row r="131" spans="8:8" ht="15" customHeight="1" x14ac:dyDescent="0.25">
      <c r="H131" s="31"/>
    </row>
    <row r="132" spans="8:8" ht="15" customHeight="1" x14ac:dyDescent="0.25">
      <c r="H132" s="31"/>
    </row>
    <row r="133" spans="8:8" ht="15" customHeight="1" x14ac:dyDescent="0.25">
      <c r="H133" s="31"/>
    </row>
    <row r="134" spans="8:8" ht="15" customHeight="1" x14ac:dyDescent="0.25">
      <c r="H134" s="31"/>
    </row>
    <row r="135" spans="8:8" ht="15" customHeight="1" x14ac:dyDescent="0.25">
      <c r="H135" s="31"/>
    </row>
    <row r="136" spans="8:8" ht="15" customHeight="1" x14ac:dyDescent="0.25">
      <c r="H136" s="31"/>
    </row>
    <row r="137" spans="8:8" ht="15" customHeight="1" x14ac:dyDescent="0.25">
      <c r="H137" s="31"/>
    </row>
    <row r="138" spans="8:8" ht="15" customHeight="1" x14ac:dyDescent="0.25">
      <c r="H138" s="31"/>
    </row>
    <row r="139" spans="8:8" ht="15" customHeight="1" x14ac:dyDescent="0.25">
      <c r="H139" s="31"/>
    </row>
    <row r="140" spans="8:8" ht="15" customHeight="1" x14ac:dyDescent="0.25">
      <c r="H140" s="31"/>
    </row>
    <row r="141" spans="8:8" ht="15" customHeight="1" x14ac:dyDescent="0.25">
      <c r="H141" s="31"/>
    </row>
    <row r="142" spans="8:8" ht="15" customHeight="1" x14ac:dyDescent="0.25">
      <c r="H142" s="31"/>
    </row>
    <row r="143" spans="8:8" ht="15" customHeight="1" x14ac:dyDescent="0.25">
      <c r="H143" s="31"/>
    </row>
    <row r="144" spans="8:8" ht="15" customHeight="1" x14ac:dyDescent="0.25">
      <c r="H144" s="31"/>
    </row>
    <row r="145" spans="8:8" ht="15" customHeight="1" x14ac:dyDescent="0.25">
      <c r="H145" s="31"/>
    </row>
    <row r="146" spans="8:8" ht="15" customHeight="1" x14ac:dyDescent="0.25">
      <c r="H146" s="31"/>
    </row>
    <row r="147" spans="8:8" ht="15" customHeight="1" x14ac:dyDescent="0.25">
      <c r="H147" s="31"/>
    </row>
    <row r="148" spans="8:8" ht="15" customHeight="1" x14ac:dyDescent="0.25">
      <c r="H148" s="31"/>
    </row>
    <row r="149" spans="8:8" ht="15" customHeight="1" x14ac:dyDescent="0.25">
      <c r="H149" s="31"/>
    </row>
    <row r="150" spans="8:8" ht="15" customHeight="1" x14ac:dyDescent="0.25">
      <c r="H150" s="31"/>
    </row>
    <row r="151" spans="8:8" ht="15" customHeight="1" x14ac:dyDescent="0.25">
      <c r="H151" s="31"/>
    </row>
    <row r="152" spans="8:8" ht="15" customHeight="1" x14ac:dyDescent="0.25">
      <c r="H152" s="31"/>
    </row>
    <row r="153" spans="8:8" ht="15" customHeight="1" x14ac:dyDescent="0.25">
      <c r="H153" s="31"/>
    </row>
    <row r="154" spans="8:8" ht="15" customHeight="1" x14ac:dyDescent="0.25">
      <c r="H154" s="31"/>
    </row>
    <row r="155" spans="8:8" ht="15" customHeight="1" x14ac:dyDescent="0.25">
      <c r="H155" s="31"/>
    </row>
    <row r="156" spans="8:8" ht="15" customHeight="1" x14ac:dyDescent="0.25">
      <c r="H156" s="31"/>
    </row>
    <row r="157" spans="8:8" ht="15" customHeight="1" x14ac:dyDescent="0.25">
      <c r="H157" s="31"/>
    </row>
    <row r="158" spans="8:8" ht="15" customHeight="1" x14ac:dyDescent="0.25">
      <c r="H158" s="31"/>
    </row>
    <row r="159" spans="8:8" ht="15" customHeight="1" x14ac:dyDescent="0.25">
      <c r="H159" s="31"/>
    </row>
    <row r="160" spans="8:8" ht="15" customHeight="1" x14ac:dyDescent="0.25">
      <c r="H160" s="31"/>
    </row>
    <row r="161" spans="8:8" ht="15" customHeight="1" x14ac:dyDescent="0.25">
      <c r="H161" s="31"/>
    </row>
    <row r="162" spans="8:8" ht="15" customHeight="1" x14ac:dyDescent="0.25">
      <c r="H162" s="31"/>
    </row>
    <row r="163" spans="8:8" ht="15" customHeight="1" x14ac:dyDescent="0.25">
      <c r="H163" s="31"/>
    </row>
    <row r="164" spans="8:8" ht="15" customHeight="1" x14ac:dyDescent="0.25">
      <c r="H164" s="31"/>
    </row>
    <row r="165" spans="8:8" ht="15" customHeight="1" x14ac:dyDescent="0.25">
      <c r="H165" s="31"/>
    </row>
  </sheetData>
  <autoFilter ref="E1:L62">
    <sortState ref="E2:M21">
      <sortCondition ref="G1:G101"/>
    </sortState>
  </autoFilter>
  <conditionalFormatting sqref="B9">
    <cfRule type="cellIs" dxfId="8" priority="24" operator="greaterThan">
      <formula>0.95</formula>
    </cfRule>
  </conditionalFormatting>
  <conditionalFormatting sqref="J2:J1048576">
    <cfRule type="cellIs" dxfId="7" priority="22" operator="equal">
      <formula>"&lt; 0"</formula>
    </cfRule>
    <cfRule type="cellIs" dxfId="6" priority="27" operator="greaterThanOrEqual">
      <formula>$B$12</formula>
    </cfRule>
    <cfRule type="cellIs" dxfId="5" priority="28" operator="between">
      <formula>$B$13</formula>
      <formula>"&lt;$B$12"</formula>
    </cfRule>
    <cfRule type="cellIs" dxfId="4" priority="31" operator="between">
      <formula>0.0001</formula>
      <formula>"&lt;$B$13"</formula>
    </cfRule>
  </conditionalFormatting>
  <conditionalFormatting sqref="L1 L3:L1048576">
    <cfRule type="cellIs" dxfId="3" priority="16" operator="equal">
      <formula>1</formula>
    </cfRule>
  </conditionalFormatting>
  <conditionalFormatting sqref="I67:I68">
    <cfRule type="cellIs" dxfId="2" priority="2" operator="equal">
      <formula>$B$1&amp;" "&amp;#REF!</formula>
    </cfRule>
  </conditionalFormatting>
  <conditionalFormatting sqref="L2">
    <cfRule type="cellIs" dxfId="1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3" operator="beginsWith" id="{EA260348-4AA8-45BF-BDCD-557A01152ED8}">
            <xm:f>LEFT(I1,LEN($B$1&amp;" "&amp;$C$1))=$B$1&amp;" "&amp;$C$1</xm:f>
            <xm:f>$B$1&amp;" "&amp;$C$1</xm:f>
            <x14:dxf>
              <fill>
                <patternFill>
                  <bgColor rgb="FFFF0000"/>
                </patternFill>
              </fill>
            </x14:dxf>
          </x14:cfRule>
          <xm:sqref>I69:I1048576 I1:I66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5" sqref="C5"/>
    </sheetView>
  </sheetViews>
  <sheetFormatPr baseColWidth="10" defaultRowHeight="14.25" x14ac:dyDescent="0.2"/>
  <cols>
    <col min="3" max="3" width="14.5" customWidth="1"/>
    <col min="5" max="5" width="14.5" customWidth="1"/>
  </cols>
  <sheetData>
    <row r="1" spans="1:6" ht="21" x14ac:dyDescent="0.2">
      <c r="A1" s="249" t="s">
        <v>93</v>
      </c>
      <c r="B1" s="249"/>
      <c r="C1" s="249"/>
      <c r="D1" s="249"/>
      <c r="E1" s="249"/>
      <c r="F1" s="249"/>
    </row>
    <row r="2" spans="1:6" ht="15" x14ac:dyDescent="0.2">
      <c r="A2" s="225" t="s">
        <v>53</v>
      </c>
      <c r="B2" s="225"/>
      <c r="C2" s="225"/>
      <c r="D2" s="225"/>
      <c r="E2" s="226"/>
      <c r="F2" s="226"/>
    </row>
    <row r="3" spans="1:6" ht="15" x14ac:dyDescent="0.2">
      <c r="A3" s="153" t="s">
        <v>88</v>
      </c>
      <c r="B3" s="153"/>
      <c r="C3" s="153"/>
      <c r="D3" s="153"/>
      <c r="E3" s="149"/>
      <c r="F3" s="149"/>
    </row>
    <row r="4" spans="1:6" ht="21" x14ac:dyDescent="0.3">
      <c r="A4" s="154" t="s">
        <v>94</v>
      </c>
      <c r="B4" s="156"/>
      <c r="C4" s="247" t="s">
        <v>300</v>
      </c>
      <c r="D4" s="248"/>
      <c r="E4" s="248"/>
      <c r="F4" s="248"/>
    </row>
    <row r="5" spans="1:6" x14ac:dyDescent="0.2">
      <c r="A5" s="156"/>
      <c r="B5" s="156"/>
      <c r="C5" s="156"/>
      <c r="D5" s="156"/>
      <c r="E5" s="156"/>
      <c r="F5" s="156"/>
    </row>
    <row r="6" spans="1:6" ht="15" x14ac:dyDescent="0.2">
      <c r="A6" s="157" t="s">
        <v>95</v>
      </c>
      <c r="B6" s="158"/>
      <c r="C6" s="244" t="s">
        <v>89</v>
      </c>
      <c r="D6" s="245"/>
      <c r="E6" s="246" t="s">
        <v>90</v>
      </c>
      <c r="F6" s="245"/>
    </row>
    <row r="7" spans="1:6" ht="21" x14ac:dyDescent="0.35">
      <c r="A7" s="156"/>
      <c r="B7" s="156"/>
      <c r="C7" s="167"/>
      <c r="D7" s="167" t="s">
        <v>103</v>
      </c>
      <c r="E7" s="168" t="s">
        <v>104</v>
      </c>
      <c r="F7" s="169"/>
    </row>
    <row r="8" spans="1:6" ht="20.25" x14ac:dyDescent="0.3">
      <c r="A8" s="156"/>
      <c r="B8" s="156"/>
      <c r="C8" s="156"/>
      <c r="D8" s="160"/>
      <c r="E8" s="160"/>
      <c r="F8" s="159"/>
    </row>
    <row r="9" spans="1:6" ht="15" x14ac:dyDescent="0.2">
      <c r="A9" s="154" t="s">
        <v>96</v>
      </c>
      <c r="B9" s="156"/>
      <c r="C9" s="156"/>
      <c r="D9" s="156"/>
      <c r="E9" s="156"/>
      <c r="F9" s="156"/>
    </row>
    <row r="10" spans="1:6" ht="48" customHeight="1" x14ac:dyDescent="0.2">
      <c r="A10" s="156"/>
      <c r="B10" s="156"/>
      <c r="C10" s="155" t="s">
        <v>92</v>
      </c>
      <c r="D10" s="185">
        <v>1.7</v>
      </c>
      <c r="E10" s="155" t="s">
        <v>91</v>
      </c>
      <c r="F10" s="161">
        <v>2</v>
      </c>
    </row>
    <row r="11" spans="1:6" x14ac:dyDescent="0.2">
      <c r="A11" s="156"/>
      <c r="B11" s="156"/>
      <c r="C11" s="156"/>
      <c r="D11" s="156"/>
      <c r="E11" s="156"/>
      <c r="F11" s="156"/>
    </row>
    <row r="14" spans="1:6" ht="15.75" x14ac:dyDescent="0.2">
      <c r="A14" s="186" t="s">
        <v>100</v>
      </c>
    </row>
    <row r="16" spans="1:6" x14ac:dyDescent="0.2">
      <c r="A16" s="187" t="s">
        <v>101</v>
      </c>
    </row>
    <row r="17" spans="1:1" x14ac:dyDescent="0.2">
      <c r="A17" s="187" t="s">
        <v>102</v>
      </c>
    </row>
  </sheetData>
  <mergeCells count="5">
    <mergeCell ref="C6:D6"/>
    <mergeCell ref="E6:F6"/>
    <mergeCell ref="A2:F2"/>
    <mergeCell ref="C4:F4"/>
    <mergeCell ref="A1:F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activeCell="C34" sqref="C34"/>
    </sheetView>
  </sheetViews>
  <sheetFormatPr baseColWidth="10" defaultRowHeight="14.25" x14ac:dyDescent="0.2"/>
  <cols>
    <col min="1" max="1" width="13.625" bestFit="1" customWidth="1"/>
    <col min="2" max="2" width="13.625" customWidth="1"/>
    <col min="3" max="3" width="43.625" customWidth="1"/>
    <col min="4" max="4" width="21.625" customWidth="1"/>
    <col min="5" max="5" width="21" style="197" customWidth="1"/>
    <col min="7" max="7" width="29.375" style="197" customWidth="1"/>
  </cols>
  <sheetData>
    <row r="1" spans="1:13" ht="15" x14ac:dyDescent="0.25">
      <c r="A1" s="42"/>
      <c r="B1" s="42"/>
      <c r="C1" s="42"/>
    </row>
    <row r="5" spans="1:13" x14ac:dyDescent="0.2">
      <c r="K5" s="191"/>
    </row>
    <row r="6" spans="1:13" ht="14.25" customHeight="1" x14ac:dyDescent="0.2">
      <c r="K6" s="191"/>
      <c r="M6" s="192"/>
    </row>
    <row r="7" spans="1:13" ht="15" customHeight="1" x14ac:dyDescent="0.2">
      <c r="E7"/>
      <c r="G7" s="193"/>
    </row>
    <row r="8" spans="1:13" ht="14.25" customHeight="1" x14ac:dyDescent="0.2">
      <c r="K8" s="191"/>
      <c r="M8" s="192"/>
    </row>
    <row r="9" spans="1:13" ht="15" customHeight="1" x14ac:dyDescent="0.2">
      <c r="E9" s="193"/>
      <c r="G9" s="193"/>
    </row>
    <row r="10" spans="1:13" ht="14.25" customHeight="1" x14ac:dyDescent="0.2">
      <c r="K10" s="191"/>
    </row>
    <row r="11" spans="1:13" ht="15" customHeight="1" x14ac:dyDescent="0.2">
      <c r="E11" s="193"/>
      <c r="G11" s="193"/>
    </row>
    <row r="12" spans="1:13" ht="14.25" customHeight="1" x14ac:dyDescent="0.2"/>
    <row r="13" spans="1:13" ht="15" customHeight="1" x14ac:dyDescent="0.2">
      <c r="E13" s="193"/>
      <c r="G13" s="193"/>
    </row>
    <row r="14" spans="1:13" ht="14.25" customHeight="1" x14ac:dyDescent="0.2"/>
    <row r="15" spans="1:13" ht="15" customHeight="1" x14ac:dyDescent="0.2">
      <c r="E15" s="193"/>
      <c r="G15" s="193"/>
    </row>
    <row r="16" spans="1:13" ht="14.25" customHeight="1" x14ac:dyDescent="0.2"/>
    <row r="17" spans="5:7" ht="15" customHeight="1" x14ac:dyDescent="0.2">
      <c r="E17" s="193"/>
      <c r="G17" s="193"/>
    </row>
    <row r="18" spans="5:7" ht="14.25" customHeight="1" x14ac:dyDescent="0.2"/>
    <row r="19" spans="5:7" ht="15" customHeight="1" x14ac:dyDescent="0.2">
      <c r="E19" s="193"/>
      <c r="G19" s="193"/>
    </row>
    <row r="20" spans="5:7" ht="14.25" customHeight="1" x14ac:dyDescent="0.2"/>
    <row r="21" spans="5:7" ht="15" customHeight="1" x14ac:dyDescent="0.2">
      <c r="E21" s="193"/>
      <c r="G21" s="193"/>
    </row>
    <row r="22" spans="5:7" ht="14.25" customHeight="1" x14ac:dyDescent="0.2"/>
    <row r="23" spans="5:7" ht="15" customHeight="1" x14ac:dyDescent="0.2">
      <c r="E23" s="193"/>
      <c r="G23" s="193"/>
    </row>
    <row r="24" spans="5:7" ht="14.25" customHeight="1" x14ac:dyDescent="0.2"/>
    <row r="25" spans="5:7" ht="15" customHeight="1" x14ac:dyDescent="0.2">
      <c r="E25" s="193"/>
      <c r="G25" s="193"/>
    </row>
    <row r="26" spans="5:7" ht="14.25" customHeight="1" x14ac:dyDescent="0.2"/>
    <row r="27" spans="5:7" ht="15" customHeight="1" x14ac:dyDescent="0.2">
      <c r="E27" s="193"/>
      <c r="G27" s="193"/>
    </row>
    <row r="28" spans="5:7" ht="14.25" customHeight="1" x14ac:dyDescent="0.2"/>
    <row r="29" spans="5:7" ht="15" customHeight="1" x14ac:dyDescent="0.2">
      <c r="E29" s="193"/>
      <c r="G29" s="193"/>
    </row>
    <row r="30" spans="5:7" ht="14.25" customHeight="1" x14ac:dyDescent="0.2"/>
    <row r="31" spans="5:7" ht="15" customHeight="1" x14ac:dyDescent="0.2">
      <c r="E31" s="193"/>
      <c r="G31" s="193"/>
    </row>
    <row r="32" spans="5:7" ht="14.25" customHeight="1" x14ac:dyDescent="0.2"/>
    <row r="33" spans="5:7" ht="15" customHeight="1" x14ac:dyDescent="0.2">
      <c r="E33" s="193"/>
      <c r="G33" s="193"/>
    </row>
    <row r="34" spans="5:7" ht="14.25" customHeight="1" x14ac:dyDescent="0.2"/>
    <row r="35" spans="5:7" ht="15" customHeight="1" x14ac:dyDescent="0.2">
      <c r="E35" s="193"/>
      <c r="G35" s="193"/>
    </row>
    <row r="36" spans="5:7" ht="14.25" customHeight="1" x14ac:dyDescent="0.2"/>
    <row r="37" spans="5:7" ht="15" customHeight="1" x14ac:dyDescent="0.2">
      <c r="E37" s="193"/>
      <c r="G37" s="193"/>
    </row>
    <row r="38" spans="5:7" ht="14.25" customHeight="1" x14ac:dyDescent="0.2"/>
    <row r="39" spans="5:7" ht="15" customHeight="1" x14ac:dyDescent="0.2">
      <c r="E39" s="193"/>
      <c r="G39" s="193"/>
    </row>
    <row r="40" spans="5:7" ht="14.25" customHeight="1" x14ac:dyDescent="0.2"/>
    <row r="41" spans="5:7" ht="15" customHeight="1" x14ac:dyDescent="0.2">
      <c r="E41" s="193"/>
      <c r="G41" s="193"/>
    </row>
    <row r="42" spans="5:7" ht="14.25" customHeight="1" x14ac:dyDescent="0.2"/>
    <row r="43" spans="5:7" ht="15" customHeight="1" x14ac:dyDescent="0.2">
      <c r="E43" s="193"/>
      <c r="G43" s="193"/>
    </row>
    <row r="44" spans="5:7" ht="14.25" customHeight="1" x14ac:dyDescent="0.2"/>
    <row r="45" spans="5:7" ht="15" customHeight="1" x14ac:dyDescent="0.2">
      <c r="E45" s="193"/>
      <c r="G45" s="193"/>
    </row>
    <row r="46" spans="5:7" ht="14.25" customHeight="1" x14ac:dyDescent="0.2"/>
    <row r="47" spans="5:7" ht="15" customHeight="1" x14ac:dyDescent="0.2">
      <c r="E47" s="193"/>
      <c r="G47" s="193"/>
    </row>
    <row r="48" spans="5:7" ht="14.25" customHeight="1" x14ac:dyDescent="0.2"/>
    <row r="49" spans="5:7" ht="15" customHeight="1" x14ac:dyDescent="0.2">
      <c r="E49" s="193"/>
      <c r="G49" s="193"/>
    </row>
    <row r="50" spans="5:7" ht="14.25" customHeight="1" x14ac:dyDescent="0.2"/>
    <row r="51" spans="5:7" ht="15" customHeight="1" x14ac:dyDescent="0.2">
      <c r="E51" s="193"/>
      <c r="G51" s="193"/>
    </row>
    <row r="52" spans="5:7" ht="14.25" customHeight="1" x14ac:dyDescent="0.2"/>
    <row r="53" spans="5:7" ht="15" customHeight="1" x14ac:dyDescent="0.2">
      <c r="E53" s="193"/>
      <c r="G53" s="193"/>
    </row>
    <row r="54" spans="5:7" ht="14.25" customHeight="1" x14ac:dyDescent="0.2"/>
    <row r="55" spans="5:7" ht="15" customHeight="1" x14ac:dyDescent="0.2">
      <c r="E55" s="193"/>
      <c r="G55" s="193"/>
    </row>
    <row r="56" spans="5:7" ht="14.25" customHeight="1" x14ac:dyDescent="0.2"/>
    <row r="57" spans="5:7" ht="15" customHeight="1" x14ac:dyDescent="0.2">
      <c r="E57" s="193"/>
      <c r="G57" s="193"/>
    </row>
    <row r="58" spans="5:7" ht="14.25" customHeight="1" x14ac:dyDescent="0.2"/>
    <row r="59" spans="5:7" ht="15" customHeight="1" x14ac:dyDescent="0.2">
      <c r="E59" s="193"/>
      <c r="G59" s="193"/>
    </row>
    <row r="60" spans="5:7" ht="14.25" customHeight="1" x14ac:dyDescent="0.2"/>
    <row r="61" spans="5:7" ht="15" customHeight="1" x14ac:dyDescent="0.2">
      <c r="E61" s="193"/>
      <c r="G61" s="193"/>
    </row>
    <row r="62" spans="5:7" ht="14.25" customHeight="1" x14ac:dyDescent="0.2"/>
    <row r="63" spans="5:7" ht="15" customHeight="1" x14ac:dyDescent="0.2">
      <c r="E63" s="193"/>
      <c r="G63" s="193"/>
    </row>
    <row r="64" spans="5:7" ht="14.25" customHeight="1" x14ac:dyDescent="0.2"/>
    <row r="65" spans="5:7" ht="15" customHeight="1" x14ac:dyDescent="0.2">
      <c r="E65" s="193"/>
      <c r="G65" s="193"/>
    </row>
    <row r="66" spans="5:7" ht="14.25" customHeight="1" x14ac:dyDescent="0.2"/>
    <row r="67" spans="5:7" ht="15" customHeight="1" x14ac:dyDescent="0.2">
      <c r="E67" s="193"/>
      <c r="G67" s="193"/>
    </row>
    <row r="68" spans="5:7" ht="14.25" customHeight="1" x14ac:dyDescent="0.2"/>
    <row r="69" spans="5:7" ht="15" customHeight="1" x14ac:dyDescent="0.2">
      <c r="E69" s="193"/>
      <c r="G69" s="193"/>
    </row>
    <row r="70" spans="5:7" ht="14.25" customHeight="1" x14ac:dyDescent="0.2"/>
    <row r="71" spans="5:7" ht="15" customHeight="1" x14ac:dyDescent="0.2">
      <c r="E71" s="193"/>
      <c r="G71" s="193"/>
    </row>
    <row r="72" spans="5:7" ht="14.25" customHeight="1" x14ac:dyDescent="0.2"/>
    <row r="73" spans="5:7" ht="15" customHeight="1" x14ac:dyDescent="0.2">
      <c r="E73" s="193"/>
      <c r="G73" s="193"/>
    </row>
    <row r="74" spans="5:7" ht="14.25" customHeight="1" x14ac:dyDescent="0.2"/>
    <row r="75" spans="5:7" ht="15" customHeight="1" x14ac:dyDescent="0.2">
      <c r="E75" s="193"/>
      <c r="G75" s="193"/>
    </row>
    <row r="76" spans="5:7" ht="14.25" customHeight="1" x14ac:dyDescent="0.2"/>
    <row r="77" spans="5:7" ht="15" customHeight="1" x14ac:dyDescent="0.2">
      <c r="E77" s="193"/>
      <c r="G77" s="193"/>
    </row>
    <row r="78" spans="5:7" ht="14.25" customHeight="1" x14ac:dyDescent="0.2"/>
    <row r="79" spans="5:7" ht="15" customHeight="1" x14ac:dyDescent="0.2">
      <c r="E79" s="193"/>
      <c r="G79" s="193"/>
    </row>
    <row r="80" spans="5:7" ht="14.25" customHeight="1" x14ac:dyDescent="0.2"/>
    <row r="81" spans="5:7" ht="15" customHeight="1" x14ac:dyDescent="0.2">
      <c r="E81" s="193"/>
      <c r="G81" s="193"/>
    </row>
    <row r="82" spans="5:7" ht="14.25" customHeight="1" x14ac:dyDescent="0.2"/>
    <row r="83" spans="5:7" ht="15" customHeight="1" x14ac:dyDescent="0.2">
      <c r="E83" s="193"/>
      <c r="G83" s="193"/>
    </row>
    <row r="84" spans="5:7" ht="14.25" customHeight="1" x14ac:dyDescent="0.2"/>
    <row r="85" spans="5:7" ht="15" customHeight="1" x14ac:dyDescent="0.2">
      <c r="E85" s="193"/>
      <c r="G85" s="193"/>
    </row>
    <row r="86" spans="5:7" ht="14.25" customHeight="1" x14ac:dyDescent="0.2"/>
    <row r="87" spans="5:7" ht="15" customHeight="1" x14ac:dyDescent="0.2">
      <c r="E87" s="193"/>
      <c r="G87" s="193"/>
    </row>
    <row r="88" spans="5:7" ht="14.25" customHeight="1" x14ac:dyDescent="0.2"/>
    <row r="89" spans="5:7" ht="15" customHeight="1" x14ac:dyDescent="0.2">
      <c r="E89" s="193"/>
      <c r="G89" s="193"/>
    </row>
    <row r="90" spans="5:7" ht="14.25" customHeight="1" x14ac:dyDescent="0.2"/>
    <row r="91" spans="5:7" ht="15" customHeight="1" x14ac:dyDescent="0.2">
      <c r="E91" s="193"/>
      <c r="G91" s="193"/>
    </row>
    <row r="92" spans="5:7" ht="14.25" customHeight="1" x14ac:dyDescent="0.2">
      <c r="E92" s="196"/>
    </row>
    <row r="93" spans="5:7" ht="15" customHeight="1" x14ac:dyDescent="0.2">
      <c r="E93"/>
      <c r="G93"/>
    </row>
    <row r="94" spans="5:7" ht="14.25" customHeight="1" x14ac:dyDescent="0.2"/>
    <row r="95" spans="5:7" ht="15" customHeight="1" x14ac:dyDescent="0.2">
      <c r="E95"/>
      <c r="G95"/>
    </row>
    <row r="96" spans="5:7" ht="14.25" customHeight="1" x14ac:dyDescent="0.2"/>
    <row r="97" spans="5:7" ht="15" customHeight="1" x14ac:dyDescent="0.2">
      <c r="E97"/>
      <c r="G97"/>
    </row>
    <row r="98" spans="5:7" ht="14.25" customHeight="1" x14ac:dyDescent="0.2"/>
    <row r="99" spans="5:7" ht="15" customHeight="1" x14ac:dyDescent="0.2">
      <c r="E99"/>
      <c r="G99"/>
    </row>
    <row r="100" spans="5:7" ht="14.25" customHeight="1" x14ac:dyDescent="0.2"/>
    <row r="101" spans="5:7" ht="15" customHeight="1" x14ac:dyDescent="0.2">
      <c r="E101"/>
      <c r="G101"/>
    </row>
    <row r="102" spans="5:7" ht="14.25" customHeight="1" x14ac:dyDescent="0.2"/>
    <row r="103" spans="5:7" ht="15" customHeight="1" x14ac:dyDescent="0.2">
      <c r="E103"/>
      <c r="G103"/>
    </row>
    <row r="104" spans="5:7" ht="14.25" customHeight="1" x14ac:dyDescent="0.2"/>
    <row r="105" spans="5:7" ht="15" customHeight="1" x14ac:dyDescent="0.2">
      <c r="E105"/>
      <c r="G105"/>
    </row>
    <row r="106" spans="5:7" ht="14.25" customHeight="1" x14ac:dyDescent="0.2"/>
    <row r="107" spans="5:7" ht="15" customHeight="1" x14ac:dyDescent="0.2">
      <c r="E107"/>
      <c r="G107"/>
    </row>
    <row r="108" spans="5:7" ht="14.25" customHeight="1" x14ac:dyDescent="0.2"/>
    <row r="109" spans="5:7" ht="15" customHeight="1" x14ac:dyDescent="0.2">
      <c r="E109"/>
      <c r="G109"/>
    </row>
    <row r="110" spans="5:7" ht="14.25" customHeight="1" x14ac:dyDescent="0.2"/>
    <row r="111" spans="5:7" ht="15" customHeight="1" x14ac:dyDescent="0.2">
      <c r="E111"/>
      <c r="G111"/>
    </row>
    <row r="112" spans="5:7" ht="14.25" customHeight="1" x14ac:dyDescent="0.2"/>
    <row r="113" spans="5:7" ht="15" customHeight="1" x14ac:dyDescent="0.2">
      <c r="E113"/>
      <c r="G113"/>
    </row>
    <row r="114" spans="5:7" ht="14.25" customHeight="1" x14ac:dyDescent="0.2"/>
    <row r="115" spans="5:7" ht="15" customHeight="1" x14ac:dyDescent="0.2">
      <c r="E115"/>
      <c r="G115"/>
    </row>
    <row r="116" spans="5:7" ht="14.25" customHeight="1" x14ac:dyDescent="0.2"/>
    <row r="117" spans="5:7" ht="15" customHeight="1" x14ac:dyDescent="0.2">
      <c r="E117"/>
      <c r="G117"/>
    </row>
    <row r="118" spans="5:7" ht="14.25" customHeight="1" x14ac:dyDescent="0.2"/>
    <row r="119" spans="5:7" ht="15" customHeight="1" x14ac:dyDescent="0.2">
      <c r="E119"/>
      <c r="G119"/>
    </row>
    <row r="120" spans="5:7" ht="14.25" customHeight="1" x14ac:dyDescent="0.2"/>
    <row r="121" spans="5:7" ht="15" customHeight="1" x14ac:dyDescent="0.2">
      <c r="E121"/>
      <c r="G121"/>
    </row>
    <row r="122" spans="5:7" ht="14.25" customHeight="1" x14ac:dyDescent="0.2"/>
    <row r="123" spans="5:7" ht="15" customHeight="1" x14ac:dyDescent="0.2">
      <c r="E123"/>
      <c r="G123"/>
    </row>
    <row r="124" spans="5:7" ht="14.25" customHeight="1" x14ac:dyDescent="0.2"/>
    <row r="125" spans="5:7" ht="15" customHeight="1" x14ac:dyDescent="0.2">
      <c r="E125"/>
      <c r="G125"/>
    </row>
    <row r="126" spans="5:7" ht="14.25" customHeight="1" x14ac:dyDescent="0.2"/>
    <row r="127" spans="5:7" ht="15" customHeight="1" x14ac:dyDescent="0.2">
      <c r="E127"/>
      <c r="G127"/>
    </row>
    <row r="128" spans="5:7" ht="14.25" customHeight="1" x14ac:dyDescent="0.2"/>
    <row r="129" spans="5:7" ht="15" customHeight="1" x14ac:dyDescent="0.2">
      <c r="E129"/>
      <c r="G129"/>
    </row>
    <row r="130" spans="5:7" ht="14.25" customHeight="1" x14ac:dyDescent="0.2"/>
    <row r="131" spans="5:7" ht="15" customHeight="1" x14ac:dyDescent="0.2">
      <c r="E131"/>
      <c r="G131"/>
    </row>
    <row r="132" spans="5:7" ht="14.25" customHeight="1" x14ac:dyDescent="0.2"/>
    <row r="133" spans="5:7" ht="15" customHeight="1" x14ac:dyDescent="0.2">
      <c r="E133"/>
      <c r="G133"/>
    </row>
    <row r="134" spans="5:7" ht="14.25" customHeight="1" x14ac:dyDescent="0.2"/>
    <row r="135" spans="5:7" ht="15" customHeight="1" x14ac:dyDescent="0.2">
      <c r="E135"/>
      <c r="G135"/>
    </row>
    <row r="136" spans="5:7" ht="14.25" customHeight="1" x14ac:dyDescent="0.2"/>
    <row r="137" spans="5:7" ht="15" customHeight="1" x14ac:dyDescent="0.2">
      <c r="E137"/>
      <c r="G137"/>
    </row>
    <row r="138" spans="5:7" ht="14.25" customHeight="1" x14ac:dyDescent="0.2"/>
    <row r="139" spans="5:7" ht="15" customHeight="1" x14ac:dyDescent="0.2">
      <c r="E139"/>
      <c r="G139"/>
    </row>
    <row r="140" spans="5:7" ht="14.25" customHeight="1" x14ac:dyDescent="0.2"/>
    <row r="141" spans="5:7" x14ac:dyDescent="0.2">
      <c r="E141"/>
      <c r="G14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Report (Spezies)</vt:lpstr>
      <vt:lpstr>Parameter (Spezies)</vt:lpstr>
      <vt:lpstr>#Parameter (Spezies) DB</vt:lpstr>
      <vt:lpstr>#Parameter (Spezies)</vt:lpstr>
      <vt:lpstr>Settings</vt:lpstr>
      <vt:lpstr>Sortierung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Jannika (CVUA-KA)</dc:creator>
  <cp:lastModifiedBy>Rau, Joerg (CVUA-S)</cp:lastModifiedBy>
  <cp:lastPrinted>2021-08-30T15:38:39Z</cp:lastPrinted>
  <dcterms:created xsi:type="dcterms:W3CDTF">2016-08-19T11:01:12Z</dcterms:created>
  <dcterms:modified xsi:type="dcterms:W3CDTF">2023-10-16T15:45:14Z</dcterms:modified>
</cp:coreProperties>
</file>